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760" windowHeight="8325" activeTab="0"/>
  </bookViews>
  <sheets>
    <sheet name="2011" sheetId="1" r:id="rId1"/>
    <sheet name="Sheet2" sheetId="2" r:id="rId2"/>
    <sheet name="Sheet3" sheetId="3" r:id="rId3"/>
    <sheet name="Sheet1" sheetId="4" r:id="rId4"/>
  </sheets>
  <definedNames>
    <definedName name="_xlnm.Print_Area" localSheetId="0">'2011'!$A$1:$J$129</definedName>
    <definedName name="_xlnm.Print_Titles" localSheetId="0">'2011'!$5:$5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<sst xmlns="http://schemas.openxmlformats.org/spreadsheetml/2006/main" count="134" uniqueCount="133">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</sst>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  <numFmt numFmtId="170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0" ht="12.7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636503.57+535.58+6527.79-2922.88</f>
        <v>640644.0599999999</v>
      </c>
      <c r="C6" s="3">
        <f>10472.43+590.95</f>
        <v>11063.380000000001</v>
      </c>
      <c r="D6" s="19">
        <f aca="true" t="shared" si="0" ref="D6:D69">C6/B6*100</f>
        <v>1.726915254626727</v>
      </c>
      <c r="E6" s="3">
        <f>83544.9+26907.33+15267.97+943.37+87.13+12.75+0.38</f>
        <v>126763.83</v>
      </c>
      <c r="F6" s="3">
        <f>55+0.5+6</f>
        <v>61.5</v>
      </c>
      <c r="G6" s="19">
        <f aca="true" t="shared" si="1" ref="G6:G49">F6/E6*100</f>
        <v>0.04851541642438541</v>
      </c>
      <c r="H6" s="5">
        <f>(B6+E6)</f>
        <v>767407.8899999999</v>
      </c>
      <c r="I6" s="5">
        <f>(C6+F6)</f>
        <v>11124.880000000001</v>
      </c>
      <c r="J6" s="19">
        <f aca="true" t="shared" si="2" ref="J6:J69">I6/H6*100</f>
        <v>1.4496697447298856</v>
      </c>
    </row>
    <row r="7" spans="1:10" ht="12.75">
      <c r="A7" s="1" t="s">
        <v>8</v>
      </c>
      <c r="B7" s="3">
        <f>769582.96+2147.96+50.14+1192.5-3315.84</f>
        <v>769657.72</v>
      </c>
      <c r="C7" s="3">
        <f>24324.65+427.5</f>
        <v>24752.15</v>
      </c>
      <c r="D7" s="19">
        <f t="shared" si="0"/>
        <v>3.215994507272662</v>
      </c>
      <c r="E7" s="3">
        <f>102625.13+152.7+90992.1+16589.65-17.52</f>
        <v>210342.06</v>
      </c>
      <c r="F7" s="3">
        <f>228.54+1.45+9.29</f>
        <v>239.27999999999997</v>
      </c>
      <c r="G7" s="19">
        <f t="shared" si="1"/>
        <v>0.11375756232491019</v>
      </c>
      <c r="H7" s="5">
        <f aca="true" t="shared" si="3" ref="H7:H70">(B7+E7)</f>
        <v>979999.78</v>
      </c>
      <c r="I7" s="5">
        <f aca="true" t="shared" si="4" ref="I7:I70">(C7+F7)</f>
        <v>24991.43</v>
      </c>
      <c r="J7" s="19">
        <f t="shared" si="2"/>
        <v>2.550146490849212</v>
      </c>
    </row>
    <row r="8" spans="1:10" ht="12.75">
      <c r="A8" s="1" t="s">
        <v>9</v>
      </c>
      <c r="B8" s="14">
        <f>1553377.58+124.21+70.76-2972.04</f>
        <v>1550600.51</v>
      </c>
      <c r="C8" s="14">
        <v>32550.92</v>
      </c>
      <c r="D8" s="18">
        <f t="shared" si="0"/>
        <v>2.099246052743785</v>
      </c>
      <c r="E8" s="14">
        <f>117527.17+133351.32+40236.52+19.46+1.37-9</f>
        <v>291126.84</v>
      </c>
      <c r="F8" s="14">
        <f>388.85+201.56+12.33</f>
        <v>602.7400000000001</v>
      </c>
      <c r="G8" s="18">
        <f t="shared" si="1"/>
        <v>0.2070369052884303</v>
      </c>
      <c r="H8" s="15">
        <f t="shared" si="3"/>
        <v>1841727.35</v>
      </c>
      <c r="I8" s="15">
        <f t="shared" si="4"/>
        <v>33153.659999999996</v>
      </c>
      <c r="J8" s="18">
        <f t="shared" si="2"/>
        <v>1.8001394180305785</v>
      </c>
    </row>
    <row r="9" spans="1:10" ht="12.75">
      <c r="A9" s="1" t="s">
        <v>10</v>
      </c>
      <c r="B9" s="3">
        <f>413699.13+4.7+255.88-2488.77</f>
        <v>411470.94</v>
      </c>
      <c r="C9" s="3">
        <v>7446.73</v>
      </c>
      <c r="D9" s="19">
        <f t="shared" si="0"/>
        <v>1.8097827273051166</v>
      </c>
      <c r="E9" s="3">
        <f>210628.36+115.57+164.22+278712.17+10619.74+312.86+19.88+4.31-564.56-289.11</f>
        <v>499723.43999999994</v>
      </c>
      <c r="F9" s="3">
        <v>16.84</v>
      </c>
      <c r="G9" s="19">
        <f t="shared" si="1"/>
        <v>0.0033698639391420188</v>
      </c>
      <c r="H9" s="5">
        <f t="shared" si="3"/>
        <v>911194.3799999999</v>
      </c>
      <c r="I9" s="5">
        <f t="shared" si="4"/>
        <v>7463.57</v>
      </c>
      <c r="J9" s="19">
        <f t="shared" si="2"/>
        <v>0.819097457558946</v>
      </c>
    </row>
    <row r="10" spans="1:10" ht="12.75">
      <c r="A10" s="1" t="s">
        <v>11</v>
      </c>
      <c r="B10" s="3">
        <f>2190749.42+511.79+1366.93+363.56+721.04-6874.21</f>
        <v>2186838.5300000003</v>
      </c>
      <c r="C10" s="3">
        <f>46957.92+170.21</f>
        <v>47128.13</v>
      </c>
      <c r="D10" s="19">
        <f t="shared" si="0"/>
        <v>2.155080466777764</v>
      </c>
      <c r="E10" s="3">
        <f>395572.78+401.94+414698.99+88863.59+220.79+2696.36-39.71-220.79</f>
        <v>902193.95</v>
      </c>
      <c r="F10" s="3">
        <f>3084.29+2.46+76.99</f>
        <v>3163.74</v>
      </c>
      <c r="G10" s="19">
        <f t="shared" si="1"/>
        <v>0.3506718261633211</v>
      </c>
      <c r="H10" s="5">
        <f t="shared" si="3"/>
        <v>3089032.4800000004</v>
      </c>
      <c r="I10" s="5">
        <f t="shared" si="4"/>
        <v>50291.869999999995</v>
      </c>
      <c r="J10" s="19">
        <f t="shared" si="2"/>
        <v>1.6280783813577768</v>
      </c>
    </row>
    <row r="11" spans="1:10" ht="12.75">
      <c r="A11" s="1" t="s">
        <v>12</v>
      </c>
      <c r="B11" s="3">
        <f>350905.67+47.09+100.53-6258.84</f>
        <v>344794.45</v>
      </c>
      <c r="C11" s="3">
        <v>18542.17</v>
      </c>
      <c r="D11" s="19">
        <f t="shared" si="0"/>
        <v>5.377746074509029</v>
      </c>
      <c r="E11" s="3">
        <f>47803.26+2503.14+5746.65+4.41+8.69</f>
        <v>56066.15000000001</v>
      </c>
      <c r="F11" s="3">
        <f>148.02+2.19</f>
        <v>150.21</v>
      </c>
      <c r="G11" s="19">
        <f t="shared" si="1"/>
        <v>0.26791566747493806</v>
      </c>
      <c r="H11" s="5">
        <f t="shared" si="3"/>
        <v>400860.60000000003</v>
      </c>
      <c r="I11" s="5">
        <f t="shared" si="4"/>
        <v>18692.379999999997</v>
      </c>
      <c r="J11" s="19">
        <f t="shared" si="2"/>
        <v>4.663062421200785</v>
      </c>
    </row>
    <row r="12" spans="1:10" ht="12.75">
      <c r="A12" s="1" t="s">
        <v>13</v>
      </c>
      <c r="B12" s="3">
        <f>788598.75+73133.53-6622.69</f>
        <v>855109.5900000001</v>
      </c>
      <c r="C12" s="3">
        <v>37293.41</v>
      </c>
      <c r="D12" s="19">
        <f t="shared" si="0"/>
        <v>4.361243334904009</v>
      </c>
      <c r="E12" s="3">
        <f>611485.7+74200.3+22038.67+547.66+131.55-30888.24-117.5</f>
        <v>677398.1400000001</v>
      </c>
      <c r="F12" s="3">
        <f>1048.59+280.81</f>
        <v>1329.3999999999999</v>
      </c>
      <c r="G12" s="19">
        <f t="shared" si="1"/>
        <v>0.1962509079224811</v>
      </c>
      <c r="H12" s="5">
        <f t="shared" si="3"/>
        <v>1532507.7300000002</v>
      </c>
      <c r="I12" s="5">
        <f t="shared" si="4"/>
        <v>38622.810000000005</v>
      </c>
      <c r="J12" s="19">
        <f t="shared" si="2"/>
        <v>2.5202359011918327</v>
      </c>
    </row>
    <row r="13" spans="1:10" ht="12.75">
      <c r="A13" s="1" t="s">
        <v>14</v>
      </c>
      <c r="B13" s="3">
        <f>12208594.86+6190.07+680.89+8582.8+15944.35-21814.56</f>
        <v>12218178.41</v>
      </c>
      <c r="C13" s="3">
        <v>125425.9</v>
      </c>
      <c r="D13" s="19">
        <f t="shared" si="0"/>
        <v>1.0265515512307861</v>
      </c>
      <c r="E13" s="3">
        <f>2756675.88+71584.56+1174.27+1051868.47+5151.06+576602.26+930.35+5698.07+4487.9+1.25-48294.21-5104.18-82163.37-74.9-0.63</f>
        <v>4338536.78</v>
      </c>
      <c r="F13" s="3">
        <f>49346.8+360.65+2489.95</f>
        <v>52197.4</v>
      </c>
      <c r="G13" s="19">
        <f t="shared" si="1"/>
        <v>1.2031106948458323</v>
      </c>
      <c r="H13" s="5">
        <f t="shared" si="3"/>
        <v>16556715.190000001</v>
      </c>
      <c r="I13" s="5">
        <f t="shared" si="4"/>
        <v>177623.3</v>
      </c>
      <c r="J13" s="19">
        <f t="shared" si="2"/>
        <v>1.0728172705856636</v>
      </c>
    </row>
    <row r="14" spans="1:10" s="13" customFormat="1" ht="12.75">
      <c r="A14" s="1" t="s">
        <v>15</v>
      </c>
      <c r="B14" s="14">
        <f>1255342.35+574.2+403.82+374.25-2927.88</f>
        <v>1253766.7400000002</v>
      </c>
      <c r="C14" s="3">
        <v>20733.91</v>
      </c>
      <c r="D14" s="19">
        <f t="shared" si="0"/>
        <v>1.653729464860425</v>
      </c>
      <c r="E14" s="14">
        <f>240999.46+229435.85+37977.51+5+1680.47-21976.78</f>
        <v>488121.51</v>
      </c>
      <c r="F14" s="14">
        <f>1614.15+4.92+2.22</f>
        <v>1621.2900000000002</v>
      </c>
      <c r="G14" s="19">
        <f t="shared" si="1"/>
        <v>0.33214885367375024</v>
      </c>
      <c r="H14" s="5">
        <f t="shared" si="3"/>
        <v>1741888.2500000002</v>
      </c>
      <c r="I14" s="15">
        <f>(C14+F14)</f>
        <v>22355.2</v>
      </c>
      <c r="J14" s="19">
        <f t="shared" si="2"/>
        <v>1.283388874114054</v>
      </c>
    </row>
    <row r="15" spans="1:10" ht="12.75">
      <c r="A15" s="1" t="s">
        <v>16</v>
      </c>
      <c r="B15" s="14">
        <f>2134329.18+4843.29+1058.48+31.88-11427.01</f>
        <v>2128835.8200000003</v>
      </c>
      <c r="C15" s="14">
        <f>107077.08+27</f>
        <v>107104.08</v>
      </c>
      <c r="D15" s="18">
        <f t="shared" si="0"/>
        <v>5.031110384078373</v>
      </c>
      <c r="E15" s="14">
        <f>640611.34+44054.88+616702.98+620.36+147160.37+3126.35+15518.5+12619.68+38.58-62041.42-620.36-19376.84</f>
        <v>1398414.4200000002</v>
      </c>
      <c r="F15" s="14">
        <f>7702.27+0.61+407.11+246.34+0.57</f>
        <v>8356.9</v>
      </c>
      <c r="G15" s="18">
        <f t="shared" si="1"/>
        <v>0.597598242729791</v>
      </c>
      <c r="H15" s="15">
        <f t="shared" si="3"/>
        <v>3527250.24</v>
      </c>
      <c r="I15" s="15">
        <f t="shared" si="4"/>
        <v>115460.98</v>
      </c>
      <c r="J15" s="18">
        <f t="shared" si="2"/>
        <v>3.2733991677324257</v>
      </c>
    </row>
    <row r="16" spans="1:10" ht="12.75">
      <c r="A16" s="1" t="s">
        <v>17</v>
      </c>
      <c r="B16" s="3">
        <f>1895323.72+95.16+867.49+439.69-2742.71</f>
        <v>1893983.3499999999</v>
      </c>
      <c r="C16" s="3">
        <v>28643.89</v>
      </c>
      <c r="D16" s="19">
        <f t="shared" si="0"/>
        <v>1.51236229188604</v>
      </c>
      <c r="E16" s="3">
        <f>428690+37.82+9.53+384124.17+3194.41+72788.78+1296.46+835+253.95+0.57-9279.54-57.88-273.45</f>
        <v>881619.82</v>
      </c>
      <c r="F16" s="3">
        <f>1303.58+459.72+478.68+18</f>
        <v>2259.98</v>
      </c>
      <c r="G16" s="19">
        <f t="shared" si="1"/>
        <v>0.25634405542289196</v>
      </c>
      <c r="H16" s="5">
        <f t="shared" si="3"/>
        <v>2775603.17</v>
      </c>
      <c r="I16" s="5">
        <f t="shared" si="4"/>
        <v>30903.87</v>
      </c>
      <c r="J16" s="19">
        <f t="shared" si="2"/>
        <v>1.1134109635708478</v>
      </c>
    </row>
    <row r="17" spans="1:10" ht="12.75">
      <c r="A17" s="1" t="s">
        <v>18</v>
      </c>
      <c r="B17" s="3">
        <f>321593.4+41.48-874.62</f>
        <v>320760.26</v>
      </c>
      <c r="C17" s="3">
        <v>3978.26</v>
      </c>
      <c r="D17" s="19">
        <f t="shared" si="0"/>
        <v>1.2402596256780687</v>
      </c>
      <c r="E17" s="3">
        <f>13175.13+36371.45+4567.08+0.29</f>
        <v>54113.95</v>
      </c>
      <c r="F17" s="3">
        <f>22.27+32.16</f>
        <v>54.42999999999999</v>
      </c>
      <c r="G17" s="19">
        <f t="shared" si="1"/>
        <v>0.10058404533396656</v>
      </c>
      <c r="H17" s="5">
        <f t="shared" si="3"/>
        <v>374874.21</v>
      </c>
      <c r="I17" s="5">
        <f t="shared" si="4"/>
        <v>4032.69</v>
      </c>
      <c r="J17" s="19">
        <f t="shared" si="2"/>
        <v>1.0757448478517633</v>
      </c>
    </row>
    <row r="18" spans="1:10" ht="12.75">
      <c r="A18" s="1" t="s">
        <v>19</v>
      </c>
      <c r="B18" s="3">
        <f>334145.67+5450.73+347.92-4268.96</f>
        <v>335675.3599999999</v>
      </c>
      <c r="C18" s="3">
        <f>24286.79+24.4</f>
        <v>24311.190000000002</v>
      </c>
      <c r="D18" s="19">
        <f t="shared" si="0"/>
        <v>7.242470820616684</v>
      </c>
      <c r="E18" s="3">
        <f>157576.88+3889.58+24322.23+8940.66+52.2-84.71</f>
        <v>194696.84000000003</v>
      </c>
      <c r="F18" s="3">
        <f>30981.87+4.61</f>
        <v>30986.48</v>
      </c>
      <c r="G18" s="19">
        <f t="shared" si="1"/>
        <v>15.915245465719934</v>
      </c>
      <c r="H18" s="5">
        <f t="shared" si="3"/>
        <v>530372.2</v>
      </c>
      <c r="I18" s="5">
        <f t="shared" si="4"/>
        <v>55297.67</v>
      </c>
      <c r="J18" s="19">
        <f t="shared" si="2"/>
        <v>10.426200694531124</v>
      </c>
    </row>
    <row r="19" spans="1:10" ht="12.75">
      <c r="A19" s="1" t="s">
        <v>20</v>
      </c>
      <c r="B19" s="3">
        <f>919209.45+459.45+2686.81+287.58-2498.61</f>
        <v>920144.6799999999</v>
      </c>
      <c r="C19" s="3">
        <v>15775.2</v>
      </c>
      <c r="D19" s="19">
        <f t="shared" si="0"/>
        <v>1.7144260400440505</v>
      </c>
      <c r="E19" s="3">
        <f>83517.05+17411.25+12617.97+234.14+1.06-73.84</f>
        <v>113707.63</v>
      </c>
      <c r="F19" s="3">
        <f>159.25+906.72+8.61</f>
        <v>1074.58</v>
      </c>
      <c r="G19" s="19">
        <f t="shared" si="1"/>
        <v>0.945037725260829</v>
      </c>
      <c r="H19" s="5">
        <f>(B19+E19)</f>
        <v>1033852.3099999999</v>
      </c>
      <c r="I19" s="5">
        <f t="shared" si="4"/>
        <v>16849.78</v>
      </c>
      <c r="J19" s="19">
        <f t="shared" si="2"/>
        <v>1.6298053249017743</v>
      </c>
    </row>
    <row r="20" spans="1:10" ht="12.75">
      <c r="A20" s="1" t="s">
        <v>21</v>
      </c>
      <c r="B20" s="3">
        <f>5489208.3+5377.6+1049.09+11290.18+3576.23-17146.44</f>
        <v>5493354.959999999</v>
      </c>
      <c r="C20" s="3">
        <v>111887.44</v>
      </c>
      <c r="D20" s="19">
        <f t="shared" si="0"/>
        <v>2.0367779037530105</v>
      </c>
      <c r="E20" s="3">
        <f>554826.6+119069.5+179769.2+507590.98+1321.95+361048.39+1419.64+2698.86-22.55-94.14</f>
        <v>1727628.4300000002</v>
      </c>
      <c r="F20" s="3">
        <f>8264.4+80.46+0.15</f>
        <v>8345.009999999998</v>
      </c>
      <c r="G20" s="19">
        <f t="shared" si="1"/>
        <v>0.4830326854484559</v>
      </c>
      <c r="H20" s="5">
        <f t="shared" si="3"/>
        <v>7220983.389999999</v>
      </c>
      <c r="I20" s="5">
        <f t="shared" si="4"/>
        <v>120232.45</v>
      </c>
      <c r="J20" s="19">
        <f t="shared" si="2"/>
        <v>1.6650426057828116</v>
      </c>
    </row>
    <row r="21" spans="1:10" ht="12.75">
      <c r="A21" s="1" t="s">
        <v>22</v>
      </c>
      <c r="B21" s="3">
        <f>407356.54+41.24+1754.48+55.39-1113.01</f>
        <v>408094.63999999996</v>
      </c>
      <c r="C21" s="3">
        <v>12602.72</v>
      </c>
      <c r="D21" s="19">
        <f t="shared" si="0"/>
        <v>3.088185622825137</v>
      </c>
      <c r="E21" s="3">
        <f>52378.37+52206.76+11314.47+9.36+6.61</f>
        <v>115915.57</v>
      </c>
      <c r="F21" s="3">
        <f>388.33+14.01+11.63</f>
        <v>413.96999999999997</v>
      </c>
      <c r="G21" s="19">
        <f t="shared" si="1"/>
        <v>0.3571306253335941</v>
      </c>
      <c r="H21" s="5">
        <f t="shared" si="3"/>
        <v>524010.20999999996</v>
      </c>
      <c r="I21" s="5">
        <f t="shared" si="4"/>
        <v>13016.689999999999</v>
      </c>
      <c r="J21" s="19">
        <f>I21/H21*100</f>
        <v>2.4840527439341304</v>
      </c>
    </row>
    <row r="22" spans="1:10" ht="12.75">
      <c r="A22" s="1" t="s">
        <v>23</v>
      </c>
      <c r="B22" s="3">
        <f>462730.44+228.27+1311.68-5062.71</f>
        <v>459207.68</v>
      </c>
      <c r="C22" s="3">
        <v>8008.7</v>
      </c>
      <c r="D22" s="19">
        <f t="shared" si="0"/>
        <v>1.7440257096745422</v>
      </c>
      <c r="E22" s="3">
        <f>102201.98+118986.94+26797.48+263.57+0.05-16.09-98.7</f>
        <v>248135.22999999998</v>
      </c>
      <c r="F22" s="3">
        <f>254.67+10.13</f>
        <v>264.8</v>
      </c>
      <c r="G22" s="19">
        <f t="shared" si="1"/>
        <v>0.10671600320518776</v>
      </c>
      <c r="H22" s="5">
        <f t="shared" si="3"/>
        <v>707342.9099999999</v>
      </c>
      <c r="I22" s="5">
        <f t="shared" si="4"/>
        <v>8273.5</v>
      </c>
      <c r="J22" s="19">
        <f t="shared" si="2"/>
        <v>1.169658998914685</v>
      </c>
    </row>
    <row r="23" spans="1:10" ht="12.75">
      <c r="A23" s="1" t="s">
        <v>24</v>
      </c>
      <c r="B23" s="3">
        <f>2004112.3+398.7+26.55+1135.09-7711.22</f>
        <v>1997961.4200000002</v>
      </c>
      <c r="C23" s="3">
        <v>28227.08</v>
      </c>
      <c r="D23" s="19">
        <f t="shared" si="0"/>
        <v>1.4127940468440074</v>
      </c>
      <c r="E23" s="3">
        <f>283245.2+519.75+176641.55+57263.19+559.56+21.35-1140.81-38.48</f>
        <v>517071.31</v>
      </c>
      <c r="F23" s="3">
        <f>646.68+24.53</f>
        <v>671.2099999999999</v>
      </c>
      <c r="G23" s="19">
        <f t="shared" si="1"/>
        <v>0.12980994826419587</v>
      </c>
      <c r="H23" s="5">
        <f t="shared" si="3"/>
        <v>2515032.73</v>
      </c>
      <c r="I23" s="5">
        <f t="shared" si="4"/>
        <v>28898.29</v>
      </c>
      <c r="J23" s="19">
        <f t="shared" si="2"/>
        <v>1.1490224224636632</v>
      </c>
    </row>
    <row r="24" spans="1:10" ht="12.75">
      <c r="A24" s="1" t="s">
        <v>25</v>
      </c>
      <c r="B24" s="14">
        <f>6429853.78+2216.89+607.97-15903.53</f>
        <v>6416775.109999999</v>
      </c>
      <c r="C24" s="14">
        <v>81653.05</v>
      </c>
      <c r="D24" s="18">
        <f t="shared" si="0"/>
        <v>1.2724935594633924</v>
      </c>
      <c r="E24" s="14">
        <f>735783.74+103.53+382593.15+81655.55+212.36+2.87-1148.27-39.03-10.13-2.86</f>
        <v>1199150.9100000001</v>
      </c>
      <c r="F24" s="14">
        <f>7000.91+168.26</f>
        <v>7169.17</v>
      </c>
      <c r="G24" s="18">
        <f t="shared" si="1"/>
        <v>0.5978538597781657</v>
      </c>
      <c r="H24" s="15">
        <f t="shared" si="3"/>
        <v>7615926.02</v>
      </c>
      <c r="I24" s="15">
        <f t="shared" si="4"/>
        <v>88822.22</v>
      </c>
      <c r="J24" s="18">
        <f t="shared" si="2"/>
        <v>1.1662694696186138</v>
      </c>
    </row>
    <row r="25" spans="1:10" ht="12.75">
      <c r="A25" s="1" t="s">
        <v>26</v>
      </c>
      <c r="B25" s="3">
        <f>182312.34+91.5+103.58-2298.94</f>
        <v>180208.47999999998</v>
      </c>
      <c r="C25" s="3">
        <v>3043.09</v>
      </c>
      <c r="D25" s="19">
        <f t="shared" si="0"/>
        <v>1.6886497239197624</v>
      </c>
      <c r="E25" s="3">
        <f>21300.29+294.33+5870.6+7.03</f>
        <v>27472.25</v>
      </c>
      <c r="F25" s="3">
        <f>5313.88+0.31</f>
        <v>5314.1900000000005</v>
      </c>
      <c r="G25" s="19">
        <f t="shared" si="1"/>
        <v>19.34384697285443</v>
      </c>
      <c r="H25" s="5">
        <f t="shared" si="3"/>
        <v>207680.72999999998</v>
      </c>
      <c r="I25" s="5">
        <f t="shared" si="4"/>
        <v>8357.28</v>
      </c>
      <c r="J25" s="19">
        <f t="shared" si="2"/>
        <v>4.0240998767675755</v>
      </c>
    </row>
    <row r="26" spans="1:10" ht="12.75">
      <c r="A26" s="1" t="s">
        <v>27</v>
      </c>
      <c r="B26" s="14">
        <f>581152.17+600.21-616.71</f>
        <v>581135.67</v>
      </c>
      <c r="C26" s="14">
        <v>19058.72</v>
      </c>
      <c r="D26" s="18">
        <f t="shared" si="0"/>
        <v>3.2795646496798248</v>
      </c>
      <c r="E26" s="14">
        <f>483780.41+509161.83+171848.4+144199.2+158.16-1057.5-24.98</f>
        <v>1308065.5199999998</v>
      </c>
      <c r="F26" s="14">
        <f>16366.09+9172.1+45.47</f>
        <v>25583.660000000003</v>
      </c>
      <c r="G26" s="18">
        <f t="shared" si="1"/>
        <v>1.9558393374668273</v>
      </c>
      <c r="H26" s="15">
        <f t="shared" si="3"/>
        <v>1889201.19</v>
      </c>
      <c r="I26" s="15">
        <f t="shared" si="4"/>
        <v>44642.380000000005</v>
      </c>
      <c r="J26" s="18">
        <f t="shared" si="2"/>
        <v>2.363029424092201</v>
      </c>
    </row>
    <row r="27" spans="1:10" ht="12.75">
      <c r="A27" s="1" t="s">
        <v>28</v>
      </c>
      <c r="B27" s="14">
        <f>766798.04+41.48+1489.35+311.71-9413.83</f>
        <v>759226.75</v>
      </c>
      <c r="C27" s="14">
        <v>32007.53</v>
      </c>
      <c r="D27" s="18">
        <f t="shared" si="0"/>
        <v>4.215806410930595</v>
      </c>
      <c r="E27" s="14">
        <f>81293.94+106.7+43430.01+14317.42+39.46+0.28+220.64-602.69-67.5</f>
        <v>138738.26</v>
      </c>
      <c r="F27" s="14">
        <f>95.2+55.45</f>
        <v>150.65</v>
      </c>
      <c r="G27" s="18">
        <f t="shared" si="1"/>
        <v>0.10858576430178668</v>
      </c>
      <c r="H27" s="15">
        <f t="shared" si="3"/>
        <v>897965.01</v>
      </c>
      <c r="I27" s="15">
        <f t="shared" si="4"/>
        <v>32158.18</v>
      </c>
      <c r="J27" s="18">
        <f t="shared" si="2"/>
        <v>3.5812286271599825</v>
      </c>
    </row>
    <row r="28" spans="1:10" ht="12.75">
      <c r="A28" s="1" t="s">
        <v>29</v>
      </c>
      <c r="B28" s="3">
        <f>525850.24+199.33+190.32-2253.58</f>
        <v>523986.3099999999</v>
      </c>
      <c r="C28" s="3">
        <v>6335.83</v>
      </c>
      <c r="D28" s="19">
        <f t="shared" si="0"/>
        <v>1.2091594530399088</v>
      </c>
      <c r="E28" s="3">
        <f>35470.57+2.15+20915.75+5.76+8957.14+3.69-3.69</f>
        <v>65351.37</v>
      </c>
      <c r="F28" s="3">
        <f>333.32+2.01</f>
        <v>335.33</v>
      </c>
      <c r="G28" s="19">
        <f t="shared" si="1"/>
        <v>0.5131185467114154</v>
      </c>
      <c r="H28" s="5">
        <f t="shared" si="3"/>
        <v>589337.6799999999</v>
      </c>
      <c r="I28" s="5">
        <f t="shared" si="4"/>
        <v>6671.16</v>
      </c>
      <c r="J28" s="19">
        <f t="shared" si="2"/>
        <v>1.1319758139340421</v>
      </c>
    </row>
    <row r="29" spans="1:10" ht="12.75">
      <c r="A29" s="1" t="s">
        <v>30</v>
      </c>
      <c r="B29" s="3">
        <f>3046092.6+939.28+7616.29+701.81+4046.54-8292.57</f>
        <v>3051103.95</v>
      </c>
      <c r="C29" s="3">
        <v>57009.48</v>
      </c>
      <c r="D29" s="19">
        <f t="shared" si="0"/>
        <v>1.8684869782951838</v>
      </c>
      <c r="E29" s="3">
        <f>602249.73+614.28+568445.92+142250.92+33702.28+19.16+333.29-210.92-33.34</f>
        <v>1347371.32</v>
      </c>
      <c r="F29" s="3">
        <f>1737.38+18.4+68.84</f>
        <v>1824.6200000000001</v>
      </c>
      <c r="G29" s="19">
        <f t="shared" si="1"/>
        <v>0.13542072425884796</v>
      </c>
      <c r="H29" s="5">
        <f t="shared" si="3"/>
        <v>4398475.2700000005</v>
      </c>
      <c r="I29" s="5">
        <f t="shared" si="4"/>
        <v>58834.100000000006</v>
      </c>
      <c r="J29" s="19">
        <f t="shared" si="2"/>
        <v>1.337602155030418</v>
      </c>
    </row>
    <row r="30" spans="1:10" ht="12.75">
      <c r="A30" s="1" t="s">
        <v>31</v>
      </c>
      <c r="B30" s="3">
        <f>2572924.28+41.48+826.29-5324.45</f>
        <v>2568467.5999999996</v>
      </c>
      <c r="C30" s="3">
        <v>65235.72</v>
      </c>
      <c r="D30" s="19">
        <f t="shared" si="0"/>
        <v>2.5398692979424777</v>
      </c>
      <c r="E30" s="3">
        <f>382828.53+417734.52+115764.32+447.02+5.63-35812.86-71017.06-7684.37-0.31</f>
        <v>802265.42</v>
      </c>
      <c r="F30" s="3">
        <f>2367.59+3959.27+149.33+121.63</f>
        <v>6597.820000000001</v>
      </c>
      <c r="G30" s="19">
        <f t="shared" si="1"/>
        <v>0.8223986520570711</v>
      </c>
      <c r="H30" s="5">
        <f t="shared" si="3"/>
        <v>3370733.0199999996</v>
      </c>
      <c r="I30" s="5">
        <f t="shared" si="4"/>
        <v>71833.54000000001</v>
      </c>
      <c r="J30" s="19">
        <f t="shared" si="2"/>
        <v>2.1310955087151937</v>
      </c>
    </row>
    <row r="31" spans="1:10" ht="12.75">
      <c r="A31" s="1" t="s">
        <v>32</v>
      </c>
      <c r="B31" s="3">
        <f>393282.8+37775.92+484.52-2427.56</f>
        <v>429115.68</v>
      </c>
      <c r="C31" s="3">
        <v>31472.6</v>
      </c>
      <c r="D31" s="19">
        <f t="shared" si="0"/>
        <v>7.33429270167895</v>
      </c>
      <c r="E31" s="3">
        <f>121335.39+14.62+9496.8+7563.78+1.24-7.97</f>
        <v>138403.86</v>
      </c>
      <c r="F31" s="3">
        <f>2847.92+223.53</f>
        <v>3071.4500000000003</v>
      </c>
      <c r="G31" s="19">
        <f t="shared" si="1"/>
        <v>2.2191938866444914</v>
      </c>
      <c r="H31" s="5">
        <f t="shared" si="3"/>
        <v>567519.54</v>
      </c>
      <c r="I31" s="5">
        <f t="shared" si="4"/>
        <v>34544.049999999996</v>
      </c>
      <c r="J31" s="19">
        <f t="shared" si="2"/>
        <v>6.086847688098985</v>
      </c>
    </row>
    <row r="32" spans="1:10" ht="12.75">
      <c r="A32" s="1" t="s">
        <v>33</v>
      </c>
      <c r="B32" s="5">
        <f>447603.92+6548.71+207.64-2296.47</f>
        <v>452063.80000000005</v>
      </c>
      <c r="C32" s="3">
        <v>18118.82</v>
      </c>
      <c r="D32" s="19">
        <f>C32/B32*100</f>
        <v>4.00802276138899</v>
      </c>
      <c r="E32" s="3">
        <f>63903.19+23198.08+5511.36+1247.92+2.34</f>
        <v>93862.89</v>
      </c>
      <c r="F32" s="3">
        <f>1060.75+1328.05+200.26+12.75</f>
        <v>2601.8100000000004</v>
      </c>
      <c r="G32" s="19">
        <f t="shared" si="1"/>
        <v>2.771926157398308</v>
      </c>
      <c r="H32" s="5">
        <f>(B33+E32)</f>
        <v>446270.68</v>
      </c>
      <c r="I32" s="5">
        <f>(C33+F32)</f>
        <v>9814.69</v>
      </c>
      <c r="J32" s="19">
        <f t="shared" si="2"/>
        <v>2.1992683902065897</v>
      </c>
    </row>
    <row r="33" spans="1:10" ht="12.75">
      <c r="A33" s="1" t="s">
        <v>34</v>
      </c>
      <c r="B33" s="3">
        <f>355023.08+492.07+32.22-3139.58</f>
        <v>352407.79</v>
      </c>
      <c r="C33" s="3">
        <v>7212.88</v>
      </c>
      <c r="D33" s="19">
        <f>C33/B33*100</f>
        <v>2.0467424968103005</v>
      </c>
      <c r="E33" s="3">
        <f>33938.08+16116.41+12420.09+76.71+216-1.47</f>
        <v>62765.82</v>
      </c>
      <c r="F33" s="3">
        <f>180.46+1255.79+153.74</f>
        <v>1589.99</v>
      </c>
      <c r="G33" s="19">
        <f t="shared" si="1"/>
        <v>2.5332099540801027</v>
      </c>
      <c r="H33" s="5">
        <f>(B34+E33)</f>
        <v>377535.96</v>
      </c>
      <c r="I33" s="5">
        <f>(C33+F33)</f>
        <v>8802.87</v>
      </c>
      <c r="J33" s="19">
        <f t="shared" si="2"/>
        <v>2.331663982419052</v>
      </c>
    </row>
    <row r="34" spans="1:10" ht="12.75">
      <c r="A34" s="1" t="s">
        <v>35</v>
      </c>
      <c r="B34" s="3">
        <f>312473.07+4392.95+37.18-2133.06</f>
        <v>314770.14</v>
      </c>
      <c r="C34" s="3">
        <v>6929.12</v>
      </c>
      <c r="D34" s="19">
        <f t="shared" si="0"/>
        <v>2.2013269746615736</v>
      </c>
      <c r="E34" s="3">
        <f>24199.73+913.34+3197.79+377.42+2.34</f>
        <v>28690.62</v>
      </c>
      <c r="F34" s="3">
        <f>586.72+10.84</f>
        <v>597.5600000000001</v>
      </c>
      <c r="G34" s="19">
        <f t="shared" si="1"/>
        <v>2.082771302955461</v>
      </c>
      <c r="H34" s="5">
        <f t="shared" si="3"/>
        <v>343460.76</v>
      </c>
      <c r="I34" s="5">
        <f t="shared" si="4"/>
        <v>7526.68</v>
      </c>
      <c r="J34" s="19">
        <f t="shared" si="2"/>
        <v>2.1914235559252826</v>
      </c>
    </row>
    <row r="35" spans="1:10" ht="12.75">
      <c r="A35" s="1" t="s">
        <v>36</v>
      </c>
      <c r="B35" s="3">
        <f>5616784+1059.2+10290.6+7107.54-18937.32</f>
        <v>5616304.02</v>
      </c>
      <c r="C35" s="3">
        <v>50836.34</v>
      </c>
      <c r="D35" s="19">
        <f t="shared" si="0"/>
        <v>0.9051564840323583</v>
      </c>
      <c r="E35" s="3">
        <f>1016614.15+24965.97+583613.44+250256.39+3683.34+18665.9+267.6+1022.02+89.35-1477.41-1109.86-5199.55-8.79</f>
        <v>1891382.5500000003</v>
      </c>
      <c r="F35" s="3">
        <f>5992.71+76.18+1343.01+10.14</f>
        <v>7422.040000000001</v>
      </c>
      <c r="G35" s="19">
        <f t="shared" si="1"/>
        <v>0.39241347552878714</v>
      </c>
      <c r="H35" s="5">
        <f t="shared" si="3"/>
        <v>7507686.57</v>
      </c>
      <c r="I35" s="5">
        <f t="shared" si="4"/>
        <v>58258.38</v>
      </c>
      <c r="J35" s="19">
        <f t="shared" si="2"/>
        <v>0.7759831135305372</v>
      </c>
    </row>
    <row r="36" spans="1:10" ht="12.75">
      <c r="A36" s="1" t="s">
        <v>37</v>
      </c>
      <c r="B36" s="3">
        <f>576271.13+118.1+2416.79+47.58-1722.03</f>
        <v>577131.57</v>
      </c>
      <c r="C36" s="3">
        <f>17628.22+26.94</f>
        <v>17655.16</v>
      </c>
      <c r="D36" s="19">
        <f t="shared" si="0"/>
        <v>3.0591222032785352</v>
      </c>
      <c r="E36" s="3">
        <f>21736.12+58.04+702.03+1640.39+69.59+3.51-39.08</f>
        <v>24170.599999999995</v>
      </c>
      <c r="F36" s="3">
        <f>1188.31+0.25</f>
        <v>1188.56</v>
      </c>
      <c r="G36" s="19">
        <f t="shared" si="1"/>
        <v>4.9173789645271535</v>
      </c>
      <c r="H36" s="5">
        <f t="shared" si="3"/>
        <v>601302.1699999999</v>
      </c>
      <c r="I36" s="5">
        <f t="shared" si="4"/>
        <v>18843.72</v>
      </c>
      <c r="J36" s="19">
        <f t="shared" si="2"/>
        <v>3.133818725450468</v>
      </c>
    </row>
    <row r="37" spans="1:10" ht="12.75">
      <c r="A37" s="1" t="s">
        <v>38</v>
      </c>
      <c r="B37" s="3">
        <f>158032.95+128.8+2546.46+329.44-1846.02</f>
        <v>159191.63</v>
      </c>
      <c r="C37" s="3">
        <f>5066.83+48.66</f>
        <v>5115.49</v>
      </c>
      <c r="D37" s="19">
        <f t="shared" si="0"/>
        <v>3.213416434017291</v>
      </c>
      <c r="E37" s="3">
        <f>8461.06+758.09+8.55</f>
        <v>9227.699999999999</v>
      </c>
      <c r="F37" s="3">
        <f>7.48+44.45</f>
        <v>51.93000000000001</v>
      </c>
      <c r="G37" s="19">
        <f t="shared" si="1"/>
        <v>0.5627621184043696</v>
      </c>
      <c r="H37" s="5">
        <f t="shared" si="3"/>
        <v>168419.33000000002</v>
      </c>
      <c r="I37" s="5">
        <f t="shared" si="4"/>
        <v>5167.42</v>
      </c>
      <c r="J37" s="19">
        <f t="shared" si="2"/>
        <v>3.068187006800229</v>
      </c>
    </row>
    <row r="38" spans="1:10" ht="12.75">
      <c r="A38" s="1" t="s">
        <v>39</v>
      </c>
      <c r="B38" s="3">
        <f>441907.17+266.08+5112.84+144.21-3030.57</f>
        <v>444399.73000000004</v>
      </c>
      <c r="C38" s="3">
        <v>30142.09</v>
      </c>
      <c r="D38" s="19">
        <f t="shared" si="0"/>
        <v>6.782652635725047</v>
      </c>
      <c r="E38" s="3">
        <f>54058.44+227.34+3627.31+5504.83+1.39</f>
        <v>63419.31</v>
      </c>
      <c r="F38" s="3">
        <f>656.5+1216.78+1.38</f>
        <v>1874.66</v>
      </c>
      <c r="G38" s="19">
        <f t="shared" si="1"/>
        <v>2.9559766575826827</v>
      </c>
      <c r="H38" s="5">
        <f t="shared" si="3"/>
        <v>507819.04000000004</v>
      </c>
      <c r="I38" s="5">
        <f t="shared" si="4"/>
        <v>32016.75</v>
      </c>
      <c r="J38" s="19">
        <f t="shared" si="2"/>
        <v>6.304755725582877</v>
      </c>
    </row>
    <row r="39" spans="1:10" ht="12.75">
      <c r="A39" s="1" t="s">
        <v>40</v>
      </c>
      <c r="B39" s="3">
        <f>27521354.23+540.51+1829.23+17440.81-34365.09</f>
        <v>27506799.69</v>
      </c>
      <c r="C39" s="3">
        <f>266302.87+461.16</f>
        <v>266764.02999999997</v>
      </c>
      <c r="D39" s="19">
        <f t="shared" si="0"/>
        <v>0.9698112212486176</v>
      </c>
      <c r="E39" s="3">
        <f>4344377.73+551316.23+473888.69+8516.23+6543.26+619.07-284001.07-406.11-496.7</f>
        <v>5100357.330000001</v>
      </c>
      <c r="F39" s="3">
        <f>46742.83+1068.63+1339.31+25.5+13.33</f>
        <v>49189.6</v>
      </c>
      <c r="G39" s="19">
        <f t="shared" si="1"/>
        <v>0.9644343879725774</v>
      </c>
      <c r="H39" s="5">
        <f t="shared" si="3"/>
        <v>32607157.020000003</v>
      </c>
      <c r="I39" s="5">
        <f t="shared" si="4"/>
        <v>315953.62999999995</v>
      </c>
      <c r="J39" s="19">
        <f t="shared" si="2"/>
        <v>0.968970185920244</v>
      </c>
    </row>
    <row r="40" spans="1:10" ht="12.75">
      <c r="A40" s="1" t="s">
        <v>41</v>
      </c>
      <c r="B40" s="14">
        <f>564889.3+87.71-3189.93</f>
        <v>561787.08</v>
      </c>
      <c r="C40" s="14">
        <v>7685.27</v>
      </c>
      <c r="D40" s="18">
        <f t="shared" si="0"/>
        <v>1.3680040487937175</v>
      </c>
      <c r="E40" s="14">
        <f>58673.83+42158.95+13946.71+68.63+4.84</f>
        <v>114852.95999999999</v>
      </c>
      <c r="F40" s="14">
        <f>1049.77+480.27</f>
        <v>1530.04</v>
      </c>
      <c r="G40" s="18">
        <f t="shared" si="1"/>
        <v>1.3321728930625731</v>
      </c>
      <c r="H40" s="15">
        <f t="shared" si="3"/>
        <v>676640.0399999999</v>
      </c>
      <c r="I40" s="15">
        <f t="shared" si="4"/>
        <v>9215.310000000001</v>
      </c>
      <c r="J40" s="18">
        <f t="shared" si="2"/>
        <v>1.3619220642041818</v>
      </c>
    </row>
    <row r="41" spans="1:10" ht="12.75">
      <c r="A41" s="1" t="s">
        <v>42</v>
      </c>
      <c r="B41" s="3">
        <f>1164748.85+179637.86-10562.76</f>
        <v>1333823.95</v>
      </c>
      <c r="C41" s="3">
        <v>113164.91</v>
      </c>
      <c r="D41" s="19">
        <f t="shared" si="0"/>
        <v>8.484246365496736</v>
      </c>
      <c r="E41" s="3">
        <f>491935.23+74022.54+44103.26-579.15</f>
        <v>609481.88</v>
      </c>
      <c r="F41" s="3">
        <f>86851.81+29198.06+237.2</f>
        <v>116287.06999999999</v>
      </c>
      <c r="G41" s="19">
        <f t="shared" si="1"/>
        <v>19.07965992360593</v>
      </c>
      <c r="H41" s="5">
        <f t="shared" si="3"/>
        <v>1943305.83</v>
      </c>
      <c r="I41" s="5">
        <f t="shared" si="4"/>
        <v>229451.97999999998</v>
      </c>
      <c r="J41" s="19">
        <f t="shared" si="2"/>
        <v>11.807301581552913</v>
      </c>
    </row>
    <row r="42" spans="1:10" ht="12.75">
      <c r="A42" s="1" t="s">
        <v>43</v>
      </c>
      <c r="B42" s="14">
        <f>3458077.62+3137.84+502.63+409.28-7942.49</f>
        <v>3454184.8799999994</v>
      </c>
      <c r="C42" s="14">
        <f>75257.4+170.63</f>
        <v>75428.03</v>
      </c>
      <c r="D42" s="18">
        <f t="shared" si="0"/>
        <v>2.1836708983567785</v>
      </c>
      <c r="E42" s="14">
        <f>503165.02+3.05+7.95+231406.25+56247.76+882.79+308.73+28.28-642.46-0.35</f>
        <v>791407.0200000001</v>
      </c>
      <c r="F42" s="14">
        <f>5252.44+161.19+0.28</f>
        <v>5413.909999999999</v>
      </c>
      <c r="G42" s="18">
        <f t="shared" si="1"/>
        <v>0.6840866789379753</v>
      </c>
      <c r="H42" s="15">
        <f t="shared" si="3"/>
        <v>4245591.899999999</v>
      </c>
      <c r="I42" s="15">
        <f t="shared" si="4"/>
        <v>80841.94</v>
      </c>
      <c r="J42" s="18">
        <f t="shared" si="2"/>
        <v>1.9041382663274824</v>
      </c>
    </row>
    <row r="43" spans="1:10" ht="12.75">
      <c r="A43" s="1" t="s">
        <v>44</v>
      </c>
      <c r="B43" s="3">
        <f>238067.77+481.29+43.55-1368.32</f>
        <v>237224.28999999998</v>
      </c>
      <c r="C43" s="3">
        <v>9451.09</v>
      </c>
      <c r="D43" s="19">
        <f t="shared" si="0"/>
        <v>3.984031314837111</v>
      </c>
      <c r="E43" s="3">
        <f>84573.92+11.75+48687.65+30949.55+0.19+3741.24+5.16-10.51-87.43</f>
        <v>167871.52</v>
      </c>
      <c r="F43" s="3">
        <f>284.02+25.53</f>
        <v>309.54999999999995</v>
      </c>
      <c r="G43" s="19">
        <f t="shared" si="1"/>
        <v>0.18439697216061424</v>
      </c>
      <c r="H43" s="5">
        <f t="shared" si="3"/>
        <v>405095.80999999994</v>
      </c>
      <c r="I43" s="5">
        <f t="shared" si="4"/>
        <v>9760.64</v>
      </c>
      <c r="J43" s="19">
        <f t="shared" si="2"/>
        <v>2.4094645659257745</v>
      </c>
    </row>
    <row r="44" spans="1:10" ht="12.75">
      <c r="A44" s="1" t="s">
        <v>45</v>
      </c>
      <c r="B44" s="16">
        <f>483650.09+2249.31+2154.43+9936.52-1431.98</f>
        <v>496558.37000000005</v>
      </c>
      <c r="C44" s="14">
        <f>11077.34+2025</f>
        <v>13102.34</v>
      </c>
      <c r="D44" s="18">
        <f t="shared" si="0"/>
        <v>2.6386303789421572</v>
      </c>
      <c r="E44" s="14">
        <f>89927.81+334680.91+60538.41+3965.81+1.14</f>
        <v>489114.08</v>
      </c>
      <c r="F44" s="14">
        <f>305.06+16.37+0.08</f>
        <v>321.51</v>
      </c>
      <c r="G44" s="18">
        <f t="shared" si="1"/>
        <v>0.06573313121552338</v>
      </c>
      <c r="H44" s="15">
        <f t="shared" si="3"/>
        <v>985672.4500000001</v>
      </c>
      <c r="I44" s="15">
        <f t="shared" si="4"/>
        <v>13423.85</v>
      </c>
      <c r="J44" s="18">
        <f t="shared" si="2"/>
        <v>1.3618976567722878</v>
      </c>
    </row>
    <row r="45" spans="1:10" ht="12.75">
      <c r="A45" s="1" t="s">
        <v>46</v>
      </c>
      <c r="B45" s="14">
        <f>822849.39+442.86+123.53+728.1-3376.66</f>
        <v>820767.22</v>
      </c>
      <c r="C45" s="14">
        <v>19189.61</v>
      </c>
      <c r="D45" s="18">
        <f t="shared" si="0"/>
        <v>2.338008820576436</v>
      </c>
      <c r="E45" s="14">
        <f>41227.01+8960.16+3725.72+61.42+0.03-502.5</f>
        <v>53471.84</v>
      </c>
      <c r="F45" s="14">
        <f>883.05+2.83</f>
        <v>885.88</v>
      </c>
      <c r="G45" s="18">
        <f t="shared" si="1"/>
        <v>1.6567224916890837</v>
      </c>
      <c r="H45" s="15">
        <f t="shared" si="3"/>
        <v>874239.0599999999</v>
      </c>
      <c r="I45" s="15">
        <f t="shared" si="4"/>
        <v>20075.49</v>
      </c>
      <c r="J45" s="18">
        <f t="shared" si="2"/>
        <v>2.2963387154081176</v>
      </c>
    </row>
    <row r="46" spans="1:10" ht="12.75">
      <c r="A46" s="1" t="s">
        <v>47</v>
      </c>
      <c r="B46" s="3">
        <f>1212411.42+91.5+2924.36+90-1362.25</f>
        <v>1214155.03</v>
      </c>
      <c r="C46" s="3">
        <v>24397.94</v>
      </c>
      <c r="D46" s="19">
        <f t="shared" si="0"/>
        <v>2.0094583802860826</v>
      </c>
      <c r="E46" s="3">
        <f>103329.74+40.51+36886.12+30008.59+0.02-454.5</f>
        <v>169810.47999999998</v>
      </c>
      <c r="F46" s="3">
        <f>1287.59+13.97</f>
        <v>1301.56</v>
      </c>
      <c r="G46" s="19">
        <f t="shared" si="1"/>
        <v>0.7664780171400494</v>
      </c>
      <c r="H46" s="5">
        <f t="shared" si="3"/>
        <v>1383965.51</v>
      </c>
      <c r="I46" s="5">
        <f t="shared" si="4"/>
        <v>25699.5</v>
      </c>
      <c r="J46" s="19">
        <f t="shared" si="2"/>
        <v>1.8569465650917847</v>
      </c>
    </row>
    <row r="47" spans="1:10" ht="12.75">
      <c r="A47" s="1" t="s">
        <v>48</v>
      </c>
      <c r="B47" s="3">
        <f>1558814.47+304.94+1261.7-6310.33</f>
        <v>1554070.7799999998</v>
      </c>
      <c r="C47" s="3">
        <v>38606.91</v>
      </c>
      <c r="D47" s="19">
        <f t="shared" si="0"/>
        <v>2.484243993056739</v>
      </c>
      <c r="E47" s="3">
        <f>233813.82+1267.3+31777.36+1769.56+61975.44+1002.78+1555.42+13.62-224.34-131.14-636.65</f>
        <v>332183.1699999999</v>
      </c>
      <c r="F47" s="3">
        <f>9181.75+31.73+77.99+0.14</f>
        <v>9291.609999999999</v>
      </c>
      <c r="G47" s="19">
        <f t="shared" si="1"/>
        <v>2.797134484567656</v>
      </c>
      <c r="H47" s="5">
        <f t="shared" si="3"/>
        <v>1886253.9499999997</v>
      </c>
      <c r="I47" s="5">
        <f t="shared" si="4"/>
        <v>47898.520000000004</v>
      </c>
      <c r="J47" s="19">
        <f t="shared" si="2"/>
        <v>2.5393463059414674</v>
      </c>
    </row>
    <row r="48" spans="1:10" ht="12.75">
      <c r="A48" s="1" t="s">
        <v>49</v>
      </c>
      <c r="B48" s="3">
        <f>1174971.15+237.08+2490-4698.86</f>
        <v>1172999.3699999999</v>
      </c>
      <c r="C48" s="3">
        <f>26947.4+1.41</f>
        <v>26948.81</v>
      </c>
      <c r="D48" s="19">
        <f t="shared" si="0"/>
        <v>2.297427491371969</v>
      </c>
      <c r="E48" s="3">
        <f>171080.21+54+102521.4+40526.53+118.73+1.02-19.66</f>
        <v>314282.23000000004</v>
      </c>
      <c r="F48" s="3">
        <f>3119.46+26.04</f>
        <v>3145.5</v>
      </c>
      <c r="G48" s="19">
        <f t="shared" si="1"/>
        <v>1.0008520049001814</v>
      </c>
      <c r="H48" s="5">
        <f t="shared" si="3"/>
        <v>1487281.5999999999</v>
      </c>
      <c r="I48" s="5">
        <f t="shared" si="4"/>
        <v>30094.31</v>
      </c>
      <c r="J48" s="19">
        <f t="shared" si="2"/>
        <v>2.023443979943005</v>
      </c>
    </row>
    <row r="49" spans="1:10" ht="12.75">
      <c r="A49" s="1" t="s">
        <v>50</v>
      </c>
      <c r="B49" s="3">
        <f>378929.24+90.28+6093.66-2189.53</f>
        <v>382923.64999999997</v>
      </c>
      <c r="C49" s="3">
        <f>9714.43+251.36</f>
        <v>9965.79</v>
      </c>
      <c r="D49" s="19">
        <f t="shared" si="0"/>
        <v>2.602552754315384</v>
      </c>
      <c r="E49" s="3">
        <f>29772.46+5658.45+3048.67-209.22</f>
        <v>38270.35999999999</v>
      </c>
      <c r="F49" s="3">
        <v>245.93</v>
      </c>
      <c r="G49" s="19">
        <f t="shared" si="1"/>
        <v>0.6426121938753647</v>
      </c>
      <c r="H49" s="5">
        <f t="shared" si="3"/>
        <v>421194.00999999995</v>
      </c>
      <c r="I49" s="5">
        <f t="shared" si="4"/>
        <v>10211.720000000001</v>
      </c>
      <c r="J49" s="19">
        <f t="shared" si="2"/>
        <v>2.424469426808801</v>
      </c>
    </row>
    <row r="50" spans="1:10" ht="12.75">
      <c r="A50" s="1" t="s">
        <v>51</v>
      </c>
      <c r="B50" s="14">
        <f>1539041.5+581.04+14248.68+1185.63+0.9-24247.1</f>
        <v>1530810.6499999997</v>
      </c>
      <c r="C50" s="14">
        <v>61928.3</v>
      </c>
      <c r="D50" s="18">
        <f t="shared" si="0"/>
        <v>4.045457875538037</v>
      </c>
      <c r="E50" s="14">
        <f>202999.47+10.05+156295.95+2375.51+64005.08+138.46+3.01-9807.68-6.96</f>
        <v>416012.89</v>
      </c>
      <c r="F50" s="14">
        <f>1942.55+284.27</f>
        <v>2226.8199999999997</v>
      </c>
      <c r="G50" s="18">
        <f>F50/E50*100</f>
        <v>0.5352766833739213</v>
      </c>
      <c r="H50" s="15">
        <f t="shared" si="3"/>
        <v>1946823.5399999996</v>
      </c>
      <c r="I50" s="15">
        <f t="shared" si="4"/>
        <v>64155.12</v>
      </c>
      <c r="J50" s="18">
        <f t="shared" si="2"/>
        <v>3.295374166268814</v>
      </c>
    </row>
    <row r="51" spans="1:10" ht="12.75">
      <c r="A51" s="1" t="s">
        <v>52</v>
      </c>
      <c r="B51" s="14">
        <f>415561.03+177.02+1228.05+64.05+45700-1669.08</f>
        <v>461061.07</v>
      </c>
      <c r="C51" s="14">
        <v>5980.56</v>
      </c>
      <c r="D51" s="18">
        <f t="shared" si="0"/>
        <v>1.2971296839266868</v>
      </c>
      <c r="E51" s="14">
        <f>244228.54+692052.28+98553.18+105.73+10.38</f>
        <v>1034950.11</v>
      </c>
      <c r="F51" s="14">
        <f>290.4+2648.16</f>
        <v>2938.56</v>
      </c>
      <c r="G51" s="18">
        <f aca="true" t="shared" si="5" ref="G51:G114">F51/E51*100</f>
        <v>0.28393252695050203</v>
      </c>
      <c r="H51" s="15">
        <f t="shared" si="3"/>
        <v>1496011.18</v>
      </c>
      <c r="I51" s="15">
        <f t="shared" si="4"/>
        <v>8919.12</v>
      </c>
      <c r="J51" s="18">
        <f t="shared" si="2"/>
        <v>0.5961934054530261</v>
      </c>
    </row>
    <row r="52" spans="1:10" ht="12.75">
      <c r="A52" s="1" t="s">
        <v>53</v>
      </c>
      <c r="B52" s="3">
        <f>6465554.81+10240.53+1139.66+212.1+1125-19649.08</f>
        <v>6458623.02</v>
      </c>
      <c r="C52" s="3">
        <v>152845.38</v>
      </c>
      <c r="D52" s="19">
        <f t="shared" si="0"/>
        <v>2.366531991830048</v>
      </c>
      <c r="E52" s="3">
        <f>792317.42+15.39+1298.21+658973.85+1099.54+164067.87+1614.06+494.67-5251.41-502.41</f>
        <v>1614127.1900000004</v>
      </c>
      <c r="F52" s="3">
        <f>6610.78+230.18+1125</f>
        <v>7965.96</v>
      </c>
      <c r="G52" s="19">
        <f t="shared" si="5"/>
        <v>0.49351501228351147</v>
      </c>
      <c r="H52" s="5">
        <f t="shared" si="3"/>
        <v>8072750.21</v>
      </c>
      <c r="I52" s="5">
        <f t="shared" si="4"/>
        <v>160811.34</v>
      </c>
      <c r="J52" s="19">
        <f t="shared" si="2"/>
        <v>1.9920267048619607</v>
      </c>
    </row>
    <row r="53" spans="1:10" ht="12.75">
      <c r="A53" s="1" t="s">
        <v>54</v>
      </c>
      <c r="B53" s="3">
        <f>693289.29+64755.77+1840.15-3442.72</f>
        <v>756442.4900000001</v>
      </c>
      <c r="C53" s="3">
        <v>53368.95</v>
      </c>
      <c r="D53" s="19">
        <f t="shared" si="0"/>
        <v>7.055255449756662</v>
      </c>
      <c r="E53" s="3">
        <f>1044126.48+125708.75+24843.64+46.59-15495.91</f>
        <v>1179229.55</v>
      </c>
      <c r="F53" s="3">
        <f>2560.14+181.96+4.2</f>
        <v>2746.2999999999997</v>
      </c>
      <c r="G53" s="19">
        <f t="shared" si="5"/>
        <v>0.23288934711651346</v>
      </c>
      <c r="H53" s="5">
        <f t="shared" si="3"/>
        <v>1935672.04</v>
      </c>
      <c r="I53" s="5">
        <f>(C53+F53)</f>
        <v>56115.25</v>
      </c>
      <c r="J53" s="19">
        <f t="shared" si="2"/>
        <v>2.8990060733635437</v>
      </c>
    </row>
    <row r="54" spans="1:10" ht="12.75">
      <c r="A54" s="1" t="s">
        <v>55</v>
      </c>
      <c r="B54" s="14">
        <f>953363.45+248.88+67.76-2458.4</f>
        <v>951221.69</v>
      </c>
      <c r="C54" s="14">
        <v>14906.34</v>
      </c>
      <c r="D54" s="18">
        <f t="shared" si="0"/>
        <v>1.567073181436811</v>
      </c>
      <c r="E54" s="14">
        <f>114867.32+125312.27+18402.12+2138.52+0.15-1277.16</f>
        <v>259443.22</v>
      </c>
      <c r="F54" s="14">
        <f>512.81+4.64</f>
        <v>517.4499999999999</v>
      </c>
      <c r="G54" s="18">
        <f t="shared" si="5"/>
        <v>0.19944633742982376</v>
      </c>
      <c r="H54" s="15">
        <f t="shared" si="3"/>
        <v>1210664.91</v>
      </c>
      <c r="I54" s="15">
        <f t="shared" si="4"/>
        <v>15423.79</v>
      </c>
      <c r="J54" s="18">
        <f t="shared" si="2"/>
        <v>1.2739933133107824</v>
      </c>
    </row>
    <row r="55" spans="1:10" ht="12.75">
      <c r="A55" s="1" t="s">
        <v>56</v>
      </c>
      <c r="B55" s="14">
        <f>743045.95+81.13+2168.62+1172.02-2307.02</f>
        <v>744160.7</v>
      </c>
      <c r="C55" s="14">
        <v>17431.1</v>
      </c>
      <c r="D55" s="18">
        <f>C55/B55*100</f>
        <v>2.34238384262969</v>
      </c>
      <c r="E55" s="14">
        <f>66946.2+218.3+276339.32+35313.11+563.3+0.43-0.51</f>
        <v>379380.14999999997</v>
      </c>
      <c r="F55" s="14">
        <f>257.29+31.83+11.84</f>
        <v>300.96</v>
      </c>
      <c r="G55" s="18">
        <f>F55/E55*100</f>
        <v>0.07932940086612333</v>
      </c>
      <c r="H55" s="15">
        <f>(B55+E55)</f>
        <v>1123540.8499999999</v>
      </c>
      <c r="I55" s="15">
        <f>(C55+F55)</f>
        <v>17732.059999999998</v>
      </c>
      <c r="J55" s="18">
        <f>I55/H55*100</f>
        <v>1.5782301106363867</v>
      </c>
    </row>
    <row r="56" spans="1:10" ht="12.75">
      <c r="A56" s="1" t="s">
        <v>57</v>
      </c>
      <c r="B56" s="3">
        <f>2421102.7+82.96+37853.48+401.98+18313.01-2612.02</f>
        <v>2475142.11</v>
      </c>
      <c r="C56" s="3">
        <f>33129.72+750.43</f>
        <v>33880.15</v>
      </c>
      <c r="D56" s="19">
        <f t="shared" si="0"/>
        <v>1.3688163545486285</v>
      </c>
      <c r="E56" s="3">
        <f>532865.67+474104.81+140239.94+8873.25+32.51-553.5-4095.38</f>
        <v>1151467.3</v>
      </c>
      <c r="F56" s="3">
        <f>14061.83+6463.25+2552.4</f>
        <v>23077.480000000003</v>
      </c>
      <c r="G56" s="19">
        <f t="shared" si="5"/>
        <v>2.0041802316053614</v>
      </c>
      <c r="H56" s="5">
        <f t="shared" si="3"/>
        <v>3626609.41</v>
      </c>
      <c r="I56" s="5">
        <f t="shared" si="4"/>
        <v>56957.630000000005</v>
      </c>
      <c r="J56" s="19">
        <f t="shared" si="2"/>
        <v>1.5705476813396346</v>
      </c>
    </row>
    <row r="57" spans="1:10" ht="12.75">
      <c r="A57" s="1" t="s">
        <v>58</v>
      </c>
      <c r="B57" s="14">
        <f>815316.8+48.43+639.47+706.04-2822.84</f>
        <v>813887.9000000001</v>
      </c>
      <c r="C57" s="14">
        <v>20725.73</v>
      </c>
      <c r="D57" s="18">
        <f t="shared" si="0"/>
        <v>2.54650916913742</v>
      </c>
      <c r="E57" s="14">
        <f>61775.8+42782.51+27123.44+17.33+209.42+335.56-133.49</f>
        <v>132110.57</v>
      </c>
      <c r="F57" s="14">
        <f>322.7+20.46+0.8</f>
        <v>343.96</v>
      </c>
      <c r="G57" s="18">
        <f t="shared" si="5"/>
        <v>0.26035766858019005</v>
      </c>
      <c r="H57" s="15">
        <f t="shared" si="3"/>
        <v>945998.4700000002</v>
      </c>
      <c r="I57" s="15">
        <f t="shared" si="4"/>
        <v>21069.69</v>
      </c>
      <c r="J57" s="18">
        <f t="shared" si="2"/>
        <v>2.2272435599182305</v>
      </c>
    </row>
    <row r="58" spans="1:10" ht="12.75">
      <c r="A58" s="1" t="s">
        <v>59</v>
      </c>
      <c r="B58" s="3">
        <f>191241.31+82.96+13.15+2.44-1277.73</f>
        <v>190062.12999999998</v>
      </c>
      <c r="C58" s="3">
        <v>3974.71</v>
      </c>
      <c r="D58" s="19">
        <f t="shared" si="0"/>
        <v>2.091268786685702</v>
      </c>
      <c r="E58" s="7">
        <f>37828.26+585.01+5708.78+502.75+15.17</f>
        <v>44639.97</v>
      </c>
      <c r="F58" s="3">
        <f>521.49+13.83</f>
        <v>535.32</v>
      </c>
      <c r="G58" s="19">
        <f t="shared" si="5"/>
        <v>1.1991943542972812</v>
      </c>
      <c r="H58" s="5">
        <f t="shared" si="3"/>
        <v>234702.09999999998</v>
      </c>
      <c r="I58" s="5">
        <f t="shared" si="4"/>
        <v>4510.03</v>
      </c>
      <c r="J58" s="19">
        <f t="shared" si="2"/>
        <v>1.921597633766379</v>
      </c>
    </row>
    <row r="59" spans="1:10" ht="12.75">
      <c r="A59" s="1" t="s">
        <v>60</v>
      </c>
      <c r="B59" s="3">
        <f>2045466.26+1151.47+12919+1462.88+765-8718.24</f>
        <v>2053046.3699999999</v>
      </c>
      <c r="C59" s="3">
        <f>43634.19+134.2</f>
        <v>43768.39</v>
      </c>
      <c r="D59" s="19">
        <f t="shared" si="0"/>
        <v>2.1318753750311057</v>
      </c>
      <c r="E59" s="3">
        <f>921104+211399.27+79786.24+28.36+1940.35+54.12+21.37-12.77-229.61</f>
        <v>1214091.3300000003</v>
      </c>
      <c r="F59" s="3">
        <f>4497.82+1771.84+800.08+7.35</f>
        <v>7077.09</v>
      </c>
      <c r="G59" s="19">
        <f t="shared" si="5"/>
        <v>0.5829124897877327</v>
      </c>
      <c r="H59" s="5">
        <f t="shared" si="3"/>
        <v>3267137.7</v>
      </c>
      <c r="I59" s="5">
        <f t="shared" si="4"/>
        <v>50845.479999999996</v>
      </c>
      <c r="J59" s="19">
        <f t="shared" si="2"/>
        <v>1.5562698811256102</v>
      </c>
    </row>
    <row r="60" spans="1:10" ht="12.75">
      <c r="A60" s="1" t="s">
        <v>61</v>
      </c>
      <c r="B60" s="3">
        <f>292526.45+29.28+441.25+352.12-3123.17</f>
        <v>290225.93000000005</v>
      </c>
      <c r="C60" s="3">
        <v>19499.11</v>
      </c>
      <c r="D60" s="19">
        <f t="shared" si="0"/>
        <v>6.718596784236334</v>
      </c>
      <c r="E60" s="3">
        <f>22471.11+526+5007.56+2615.68+2.31+16+0.36-538.02</f>
        <v>30101.000000000004</v>
      </c>
      <c r="F60" s="3">
        <f>1752.53+44.58</f>
        <v>1797.11</v>
      </c>
      <c r="G60" s="19">
        <f t="shared" si="5"/>
        <v>5.970266768545895</v>
      </c>
      <c r="H60" s="5">
        <f t="shared" si="3"/>
        <v>320326.93000000005</v>
      </c>
      <c r="I60" s="5">
        <f t="shared" si="4"/>
        <v>21296.22</v>
      </c>
      <c r="J60" s="19">
        <f t="shared" si="2"/>
        <v>6.648276496765352</v>
      </c>
    </row>
    <row r="61" spans="1:10" ht="12.75">
      <c r="A61" s="1" t="s">
        <v>62</v>
      </c>
      <c r="B61" s="3">
        <f>62573011.75+39269.53+397.88+-90607.88</f>
        <v>62522071.28</v>
      </c>
      <c r="C61" s="3">
        <v>1068727.26</v>
      </c>
      <c r="D61" s="19">
        <f t="shared" si="0"/>
        <v>1.7093599717990662</v>
      </c>
      <c r="E61" s="3">
        <f>10100682.92+3346468.94+1552737.62+24552.21+18253.8-32695.13-964.66-36509.26-14.76</f>
        <v>14972511.680000002</v>
      </c>
      <c r="F61" s="3">
        <f>114594.68+4624.03+9148.15+42.07</f>
        <v>128408.93</v>
      </c>
      <c r="G61" s="19">
        <f>F61/E61*100</f>
        <v>0.8576311893716952</v>
      </c>
      <c r="H61" s="5">
        <f t="shared" si="3"/>
        <v>77494582.96000001</v>
      </c>
      <c r="I61" s="5">
        <f t="shared" si="4"/>
        <v>1197136.19</v>
      </c>
      <c r="J61" s="19">
        <f t="shared" si="2"/>
        <v>1.5447998353871002</v>
      </c>
    </row>
    <row r="62" spans="1:10" ht="12.75">
      <c r="A62" s="1" t="s">
        <v>63</v>
      </c>
      <c r="B62" s="3">
        <f>4014792.45+82.96+393.67+2806.85-3208.37</f>
        <v>4014867.56</v>
      </c>
      <c r="C62" s="3">
        <v>87226.24</v>
      </c>
      <c r="D62" s="19">
        <f t="shared" si="0"/>
        <v>2.172580756312669</v>
      </c>
      <c r="E62" s="3">
        <f>378286.49+76.4+1833.17+135257.01+220.21+77017.41+29.44+3483.83+14.37+1.71-1051.02-52.86</f>
        <v>595116.1599999999</v>
      </c>
      <c r="F62" s="3">
        <f>7264.65+243.31</f>
        <v>7507.96</v>
      </c>
      <c r="G62" s="19">
        <f>F62/E62*100</f>
        <v>1.2615957193970335</v>
      </c>
      <c r="H62" s="5">
        <f t="shared" si="3"/>
        <v>4609983.72</v>
      </c>
      <c r="I62" s="5">
        <f t="shared" si="4"/>
        <v>94734.20000000001</v>
      </c>
      <c r="J62" s="19">
        <f t="shared" si="2"/>
        <v>2.0549790574965416</v>
      </c>
    </row>
    <row r="63" spans="1:10" ht="12.75">
      <c r="A63" s="1" t="s">
        <v>64</v>
      </c>
      <c r="B63" s="3">
        <f>830155.64+10381.47+665.99-6018.28</f>
        <v>835184.82</v>
      </c>
      <c r="C63" s="3">
        <v>32531.63</v>
      </c>
      <c r="D63" s="19">
        <f t="shared" si="0"/>
        <v>3.895141437077365</v>
      </c>
      <c r="E63" s="3">
        <f>198688.84+177.59+2812.4+17406.36+160.04+14.7-243.19-65.67-176.3</f>
        <v>218774.77000000002</v>
      </c>
      <c r="F63" s="3">
        <f>391.68+20.05</f>
        <v>411.73</v>
      </c>
      <c r="G63" s="19">
        <f t="shared" si="5"/>
        <v>0.18819811809195366</v>
      </c>
      <c r="H63" s="5">
        <f t="shared" si="3"/>
        <v>1053959.5899999999</v>
      </c>
      <c r="I63" s="5">
        <f t="shared" si="4"/>
        <v>32943.36</v>
      </c>
      <c r="J63" s="19">
        <f t="shared" si="2"/>
        <v>3.1256758145727397</v>
      </c>
    </row>
    <row r="64" spans="1:10" ht="12.75">
      <c r="A64" s="1" t="s">
        <v>65</v>
      </c>
      <c r="B64" s="14">
        <f>11786938.36+167.02+92.26-12720.7</f>
        <v>11774476.94</v>
      </c>
      <c r="C64" s="14">
        <v>158926.28</v>
      </c>
      <c r="D64" s="18">
        <f t="shared" si="0"/>
        <v>1.3497523568125482</v>
      </c>
      <c r="E64" s="14">
        <f>1227886.48+83.32+367360.79+188495.67+28.24+2.95-1174.67-461.93</f>
        <v>1782220.85</v>
      </c>
      <c r="F64" s="14">
        <f>26236.92+135.95+1362.77</f>
        <v>27735.64</v>
      </c>
      <c r="G64" s="18">
        <f t="shared" si="5"/>
        <v>1.5562403503471525</v>
      </c>
      <c r="H64" s="15">
        <f t="shared" si="3"/>
        <v>13556697.79</v>
      </c>
      <c r="I64" s="15">
        <f t="shared" si="4"/>
        <v>186661.91999999998</v>
      </c>
      <c r="J64" s="18">
        <f t="shared" si="2"/>
        <v>1.3768981420954136</v>
      </c>
    </row>
    <row r="65" spans="1:10" ht="12.75">
      <c r="A65" s="1" t="s">
        <v>66</v>
      </c>
      <c r="B65" s="3">
        <f>346754.49+203751.36+407.48-4026.49</f>
        <v>546886.84</v>
      </c>
      <c r="C65" s="3">
        <v>37014.87</v>
      </c>
      <c r="D65" s="19">
        <f t="shared" si="0"/>
        <v>6.7682868360847745</v>
      </c>
      <c r="E65" s="3">
        <f>567582.35+29951.9+7046.37+0.09</f>
        <v>604580.71</v>
      </c>
      <c r="F65" s="3">
        <f>20459.51+1.65</f>
        <v>20461.16</v>
      </c>
      <c r="G65" s="19">
        <f t="shared" si="5"/>
        <v>3.3843554155077165</v>
      </c>
      <c r="H65" s="5">
        <f t="shared" si="3"/>
        <v>1151467.5499999998</v>
      </c>
      <c r="I65" s="5">
        <f t="shared" si="4"/>
        <v>57476.03</v>
      </c>
      <c r="J65" s="19">
        <f t="shared" si="2"/>
        <v>4.9915457886763726</v>
      </c>
    </row>
    <row r="66" spans="1:10" ht="12.75">
      <c r="A66" s="1" t="s">
        <v>67</v>
      </c>
      <c r="B66" s="3">
        <f>997296.76+401.2+57520.37+4949.71-6673.89</f>
        <v>1053494.1500000001</v>
      </c>
      <c r="C66" s="3">
        <v>54400.41</v>
      </c>
      <c r="D66" s="19">
        <f t="shared" si="0"/>
        <v>5.163807506667217</v>
      </c>
      <c r="E66" s="3">
        <f>171292.36+21.56+33268.41+80816.76+26193.8+544.44+36.77-39.16-52.61</f>
        <v>312082.33</v>
      </c>
      <c r="F66" s="3">
        <f>3537.17+453.34+89.22</f>
        <v>4079.73</v>
      </c>
      <c r="G66" s="19">
        <f t="shared" si="5"/>
        <v>1.3072608115941713</v>
      </c>
      <c r="H66" s="5">
        <f t="shared" si="3"/>
        <v>1365576.4800000002</v>
      </c>
      <c r="I66" s="5">
        <f t="shared" si="4"/>
        <v>58480.14000000001</v>
      </c>
      <c r="J66" s="19">
        <f t="shared" si="2"/>
        <v>4.282450734652372</v>
      </c>
    </row>
    <row r="67" spans="1:10" ht="12.75">
      <c r="A67" s="1" t="s">
        <v>68</v>
      </c>
      <c r="B67" s="3">
        <f>628900.81+180.56+930.63-2194.26</f>
        <v>627817.7400000001</v>
      </c>
      <c r="C67" s="3">
        <v>17773.95</v>
      </c>
      <c r="D67" s="19">
        <f t="shared" si="0"/>
        <v>2.831068456268852</v>
      </c>
      <c r="E67" s="3">
        <f>46754.66+13581.2+2656.32+10719.36+7.18+9.35-7986.95</f>
        <v>65741.12000000001</v>
      </c>
      <c r="F67" s="3">
        <f>551.61+42.85</f>
        <v>594.46</v>
      </c>
      <c r="G67" s="19">
        <f t="shared" si="5"/>
        <v>0.9042437974893035</v>
      </c>
      <c r="H67" s="5">
        <f t="shared" si="3"/>
        <v>693558.8600000001</v>
      </c>
      <c r="I67" s="5">
        <f t="shared" si="4"/>
        <v>18368.41</v>
      </c>
      <c r="J67" s="19">
        <f t="shared" si="2"/>
        <v>2.6484284261035893</v>
      </c>
    </row>
    <row r="68" spans="1:10" ht="12.75">
      <c r="A68" s="1" t="s">
        <v>69</v>
      </c>
      <c r="B68" s="3">
        <f>2692411.59+426.39+142.78+1403.92+3146.03-9654.74</f>
        <v>2687875.9699999993</v>
      </c>
      <c r="C68" s="3">
        <v>83712.86</v>
      </c>
      <c r="D68" s="19">
        <f>C68/B68*100</f>
        <v>3.1144614161642292</v>
      </c>
      <c r="E68" s="3">
        <f>797106.01+536.85+232.13+217246.53+90908.48+444.56+955.3+2174.5+30.88-747.73-166.44</f>
        <v>1108721.07</v>
      </c>
      <c r="F68" s="3">
        <f>22099.59+2085.22+224.79+8.05</f>
        <v>24417.65</v>
      </c>
      <c r="G68" s="19">
        <f t="shared" si="5"/>
        <v>2.2023257842479715</v>
      </c>
      <c r="H68" s="5">
        <f t="shared" si="3"/>
        <v>3796597.039999999</v>
      </c>
      <c r="I68" s="5">
        <f t="shared" si="4"/>
        <v>108130.51000000001</v>
      </c>
      <c r="J68" s="19">
        <f t="shared" si="2"/>
        <v>2.8480902466278075</v>
      </c>
    </row>
    <row r="69" spans="1:10" ht="12.75">
      <c r="A69" s="1" t="s">
        <v>70</v>
      </c>
      <c r="B69" s="3">
        <f>509882.88+374.3+17817.6+341.48-7294.71</f>
        <v>521121.55</v>
      </c>
      <c r="C69" s="3">
        <f>24555.83+680.83</f>
        <v>25236.660000000003</v>
      </c>
      <c r="D69" s="19">
        <f t="shared" si="0"/>
        <v>4.8427588534767</v>
      </c>
      <c r="E69" s="3">
        <f>138416.36+4790.77+8423.42+21.61-24.15</f>
        <v>151628.00999999998</v>
      </c>
      <c r="F69" s="3">
        <f>3512.2+178.11</f>
        <v>3690.31</v>
      </c>
      <c r="G69" s="19">
        <f t="shared" si="5"/>
        <v>2.433791751273396</v>
      </c>
      <c r="H69" s="5">
        <f t="shared" si="3"/>
        <v>672749.5599999999</v>
      </c>
      <c r="I69" s="5">
        <f t="shared" si="4"/>
        <v>28926.970000000005</v>
      </c>
      <c r="J69" s="19">
        <f t="shared" si="2"/>
        <v>4.299812548372385</v>
      </c>
    </row>
    <row r="70" spans="1:10" ht="12.75">
      <c r="A70" s="1" t="s">
        <v>71</v>
      </c>
      <c r="B70" s="3">
        <f>212869+45.51+35205.83+812.13-2220</f>
        <v>246712.47000000003</v>
      </c>
      <c r="C70" s="3">
        <v>13228.88</v>
      </c>
      <c r="D70" s="19">
        <f aca="true" t="shared" si="6" ref="D70:D125">C70/B70*100</f>
        <v>5.362063782183364</v>
      </c>
      <c r="E70" s="3">
        <f>32148.28+1771.95+3930.34+9-17.26</f>
        <v>37842.30999999999</v>
      </c>
      <c r="F70" s="3">
        <f>888.09+16.75</f>
        <v>904.84</v>
      </c>
      <c r="G70" s="19">
        <f t="shared" si="5"/>
        <v>2.3910802485366256</v>
      </c>
      <c r="H70" s="5">
        <f t="shared" si="3"/>
        <v>284554.78</v>
      </c>
      <c r="I70" s="5">
        <f t="shared" si="4"/>
        <v>14133.72</v>
      </c>
      <c r="J70" s="19">
        <f aca="true" t="shared" si="7" ref="J70:J125">I70/H70*100</f>
        <v>4.966959261763235</v>
      </c>
    </row>
    <row r="71" spans="1:10" ht="12.75">
      <c r="A71" s="1" t="s">
        <v>72</v>
      </c>
      <c r="B71" s="3">
        <f>233618.66+31.72+77401.3+384.29-2497.66</f>
        <v>308938.31</v>
      </c>
      <c r="C71" s="3">
        <v>21865.96</v>
      </c>
      <c r="D71" s="19">
        <f t="shared" si="6"/>
        <v>7.0777754950494804</v>
      </c>
      <c r="E71" s="3">
        <f>314429.04+1699.44+22239.86+2855.75-2.57</f>
        <v>341221.51999999996</v>
      </c>
      <c r="F71" s="3">
        <f>26183.08+47.04</f>
        <v>26230.120000000003</v>
      </c>
      <c r="G71" s="19">
        <f t="shared" si="5"/>
        <v>7.687123602286282</v>
      </c>
      <c r="H71" s="5">
        <f aca="true" t="shared" si="8" ref="H71:H125">(B71+E71)</f>
        <v>650159.83</v>
      </c>
      <c r="I71" s="5">
        <f aca="true" t="shared" si="9" ref="I71:I125">(C71+F71)</f>
        <v>48096.08</v>
      </c>
      <c r="J71" s="19">
        <f t="shared" si="7"/>
        <v>7.39757791557193</v>
      </c>
    </row>
    <row r="72" spans="1:10" ht="12.75">
      <c r="A72" s="1" t="s">
        <v>73</v>
      </c>
      <c r="B72" s="3">
        <f>452414.96+257310.73+596.3-4174.04</f>
        <v>706147.9500000001</v>
      </c>
      <c r="C72" s="3">
        <v>31322.78</v>
      </c>
      <c r="D72" s="19">
        <f t="shared" si="6"/>
        <v>4.43572483641707</v>
      </c>
      <c r="E72" s="3">
        <f>562051.61+45067.23+11819.83</f>
        <v>618938.6699999999</v>
      </c>
      <c r="F72" s="3">
        <f>2027.85+39.19</f>
        <v>2067.04</v>
      </c>
      <c r="G72" s="19">
        <f t="shared" si="5"/>
        <v>0.3339652376220087</v>
      </c>
      <c r="H72" s="5">
        <f t="shared" si="8"/>
        <v>1325086.62</v>
      </c>
      <c r="I72" s="5">
        <f t="shared" si="9"/>
        <v>33389.82</v>
      </c>
      <c r="J72" s="19">
        <f t="shared" si="7"/>
        <v>2.519821685317447</v>
      </c>
    </row>
    <row r="73" spans="1:10" ht="12.75">
      <c r="A73" s="1" t="s">
        <v>74</v>
      </c>
      <c r="B73" s="14">
        <f>383055.26+97.05+20.74-3742.41</f>
        <v>379430.64</v>
      </c>
      <c r="C73" s="14">
        <v>14264.97</v>
      </c>
      <c r="D73" s="18">
        <f t="shared" si="6"/>
        <v>3.7595725005234155</v>
      </c>
      <c r="E73" s="14">
        <f>30713.04+26325.34+6029.7+8.49+0.17</f>
        <v>63076.74</v>
      </c>
      <c r="F73" s="14">
        <f>560.8+416.83</f>
        <v>977.6299999999999</v>
      </c>
      <c r="G73" s="18">
        <f t="shared" si="5"/>
        <v>1.549905718019035</v>
      </c>
      <c r="H73" s="15">
        <f t="shared" si="8"/>
        <v>442507.38</v>
      </c>
      <c r="I73" s="15">
        <f t="shared" si="9"/>
        <v>15242.599999999999</v>
      </c>
      <c r="J73" s="18">
        <f t="shared" si="7"/>
        <v>3.4445979183443223</v>
      </c>
    </row>
    <row r="74" spans="1:10" ht="12.75">
      <c r="A74" s="1" t="s">
        <v>75</v>
      </c>
      <c r="B74" s="3">
        <f>935960.65+205.69+83.83+760.67-3930.9</f>
        <v>933079.94</v>
      </c>
      <c r="C74" s="3">
        <v>23609.18</v>
      </c>
      <c r="D74" s="19">
        <f t="shared" si="6"/>
        <v>2.5302419426142633</v>
      </c>
      <c r="E74" s="3">
        <f>70476.79+26818.3+13717+5.64+17.54-43.19-25.71</f>
        <v>110966.36999999998</v>
      </c>
      <c r="F74" s="3">
        <f>887.15+16.56</f>
        <v>903.7099999999999</v>
      </c>
      <c r="G74" s="19">
        <f t="shared" si="5"/>
        <v>0.8143998943103213</v>
      </c>
      <c r="H74" s="5">
        <f t="shared" si="8"/>
        <v>1044046.3099999999</v>
      </c>
      <c r="I74" s="5">
        <f t="shared" si="9"/>
        <v>24512.89</v>
      </c>
      <c r="J74" s="19">
        <f t="shared" si="7"/>
        <v>2.347873821803939</v>
      </c>
    </row>
    <row r="75" spans="1:10" ht="12.75">
      <c r="A75" s="1" t="s">
        <v>76</v>
      </c>
      <c r="B75" s="3">
        <f>508706.54+30.5+5087.2-1474.53</f>
        <v>512349.70999999996</v>
      </c>
      <c r="C75" s="3">
        <v>8890.87</v>
      </c>
      <c r="D75" s="19">
        <f t="shared" si="6"/>
        <v>1.7353127807957578</v>
      </c>
      <c r="E75" s="3">
        <f>206863.1+102677.34+15228.77+747.91+1.04</f>
        <v>325518.16</v>
      </c>
      <c r="F75" s="3">
        <v>561.74</v>
      </c>
      <c r="G75" s="19">
        <f t="shared" si="5"/>
        <v>0.1725679452107987</v>
      </c>
      <c r="H75" s="5">
        <f t="shared" si="8"/>
        <v>837867.8699999999</v>
      </c>
      <c r="I75" s="5">
        <f t="shared" si="9"/>
        <v>9452.61</v>
      </c>
      <c r="J75" s="19">
        <f t="shared" si="7"/>
        <v>1.1281743027095672</v>
      </c>
    </row>
    <row r="76" spans="1:10" ht="12.75">
      <c r="A76" s="1" t="s">
        <v>77</v>
      </c>
      <c r="B76" s="3">
        <f>1187228.63+142.13+353.47+147.59-4743.53</f>
        <v>1183128.2899999998</v>
      </c>
      <c r="C76" s="3">
        <v>22746.57</v>
      </c>
      <c r="D76" s="19">
        <f t="shared" si="6"/>
        <v>1.9225784889312387</v>
      </c>
      <c r="E76" s="3">
        <f>222647.47+608807.17+142766.76+580.5+71.7-25.66</f>
        <v>974847.94</v>
      </c>
      <c r="F76" s="3">
        <f>925.2+70.82</f>
        <v>996.02</v>
      </c>
      <c r="G76" s="19">
        <f t="shared" si="5"/>
        <v>0.10217183205003233</v>
      </c>
      <c r="H76" s="5">
        <f t="shared" si="8"/>
        <v>2157976.2299999995</v>
      </c>
      <c r="I76" s="5">
        <f t="shared" si="9"/>
        <v>23742.59</v>
      </c>
      <c r="J76" s="19">
        <f t="shared" si="7"/>
        <v>1.100224815729319</v>
      </c>
    </row>
    <row r="77" spans="1:10" ht="12.75">
      <c r="A77" s="1" t="s">
        <v>78</v>
      </c>
      <c r="B77" s="3">
        <f>688992.28+25.62+281.09-3651.68</f>
        <v>685647.3099999999</v>
      </c>
      <c r="C77" s="3">
        <v>8258.39</v>
      </c>
      <c r="D77" s="19">
        <f t="shared" si="6"/>
        <v>1.2044661853920204</v>
      </c>
      <c r="E77" s="3">
        <f>43703.63+9522.1+7518.45+400.13+0.02-8.1</f>
        <v>61136.22999999999</v>
      </c>
      <c r="F77" s="3">
        <v>874.69</v>
      </c>
      <c r="G77" s="19">
        <f t="shared" si="5"/>
        <v>1.4307228299815022</v>
      </c>
      <c r="H77" s="5">
        <f t="shared" si="8"/>
        <v>746783.5399999999</v>
      </c>
      <c r="I77" s="5">
        <f t="shared" si="9"/>
        <v>9133.08</v>
      </c>
      <c r="J77" s="19">
        <f t="shared" si="7"/>
        <v>1.2229889266172098</v>
      </c>
    </row>
    <row r="78" spans="1:10" ht="12.75">
      <c r="A78" s="1" t="s">
        <v>79</v>
      </c>
      <c r="B78" s="3">
        <f>4803815.67+2126.77+1401.18+8146.44-10550.68</f>
        <v>4804939.38</v>
      </c>
      <c r="C78" s="3">
        <v>170760.84</v>
      </c>
      <c r="D78" s="19">
        <f t="shared" si="6"/>
        <v>3.5538604443330146</v>
      </c>
      <c r="E78" s="23">
        <f>590004.83+1037.94+1907.12+608947.59+9035.85+158311.75+520.57+2485.17+336.3+2.78-269.13-301.19</f>
        <v>1372019.5800000003</v>
      </c>
      <c r="F78" s="3">
        <f>22213.94+416.73+539.48</f>
        <v>23170.149999999998</v>
      </c>
      <c r="G78" s="19">
        <f t="shared" si="5"/>
        <v>1.6887623425898917</v>
      </c>
      <c r="H78" s="5">
        <f t="shared" si="8"/>
        <v>6176958.96</v>
      </c>
      <c r="I78" s="5">
        <f t="shared" si="9"/>
        <v>193930.99</v>
      </c>
      <c r="J78" s="19">
        <f t="shared" si="7"/>
        <v>3.1395868299568566</v>
      </c>
    </row>
    <row r="79" spans="1:10" ht="12.75">
      <c r="A79" s="1" t="s">
        <v>80</v>
      </c>
      <c r="B79" s="3">
        <f>227952.9+20157.75-1755.59</f>
        <v>246355.06</v>
      </c>
      <c r="C79" s="3">
        <v>22959.36</v>
      </c>
      <c r="D79" s="19">
        <f>C79/B79*100</f>
        <v>9.319621849861742</v>
      </c>
      <c r="E79" s="3">
        <f>280128.43+6671.41+6399.01-1482.38</f>
        <v>291716.47</v>
      </c>
      <c r="F79" s="3">
        <f>2025.01+141.67</f>
        <v>2166.68</v>
      </c>
      <c r="G79" s="19">
        <f>F79/E79*100</f>
        <v>0.7427348891202475</v>
      </c>
      <c r="H79" s="5">
        <f>(B79+E79)</f>
        <v>538071.53</v>
      </c>
      <c r="I79" s="5">
        <f>(C79+F79)</f>
        <v>25126.04</v>
      </c>
      <c r="J79" s="19">
        <f>I79/H79*100</f>
        <v>4.66964680327911</v>
      </c>
    </row>
    <row r="80" spans="1:10" ht="12.75">
      <c r="A80" s="1" t="s">
        <v>81</v>
      </c>
      <c r="B80" s="3">
        <f>1016449.74+361.8+875.9+525-1794.63</f>
        <v>1016417.81</v>
      </c>
      <c r="C80" s="3">
        <v>11792.87</v>
      </c>
      <c r="D80" s="19">
        <f>C80/B80*100</f>
        <v>1.1602384259677623</v>
      </c>
      <c r="E80" s="3">
        <f>178103.49+260.67+335.83+299863.24+11.88+41694.13+302.06+11.54+0.02-204.41-688.08</f>
        <v>519690.37</v>
      </c>
      <c r="F80" s="3">
        <f>800.69+36.59+129.2</f>
        <v>966.48</v>
      </c>
      <c r="G80" s="19">
        <f>F80/E80*100</f>
        <v>0.1859722742216678</v>
      </c>
      <c r="H80" s="5">
        <f>(B80+E80)</f>
        <v>1536108.1800000002</v>
      </c>
      <c r="I80" s="5">
        <f>(C80+F80)</f>
        <v>12759.35</v>
      </c>
      <c r="J80" s="19">
        <f>I80/H80*100</f>
        <v>0.8306283480633505</v>
      </c>
    </row>
    <row r="81" spans="1:10" ht="12.75">
      <c r="A81" s="1" t="s">
        <v>82</v>
      </c>
      <c r="B81" s="3">
        <f>1942140.91+261.44+819.6-7481.85</f>
        <v>1935740.0999999999</v>
      </c>
      <c r="C81" s="3">
        <v>37621.15</v>
      </c>
      <c r="D81" s="19">
        <f t="shared" si="6"/>
        <v>1.9435021261376983</v>
      </c>
      <c r="E81" s="3">
        <f>467839.79+5310.75+1155492.08+102060.11+890.8+4.41-144.51-62.5</f>
        <v>1731390.9300000002</v>
      </c>
      <c r="F81" s="3">
        <f>1584.54+253.24+9</f>
        <v>1846.78</v>
      </c>
      <c r="G81" s="19">
        <f t="shared" si="5"/>
        <v>0.10666453011856773</v>
      </c>
      <c r="H81" s="5">
        <f t="shared" si="8"/>
        <v>3667131.0300000003</v>
      </c>
      <c r="I81" s="5">
        <f t="shared" si="9"/>
        <v>39467.93</v>
      </c>
      <c r="J81" s="19">
        <f t="shared" si="7"/>
        <v>1.0762617882241312</v>
      </c>
    </row>
    <row r="82" spans="1:10" ht="12.75">
      <c r="A82" s="1" t="s">
        <v>83</v>
      </c>
      <c r="B82" s="3">
        <f>233608.37+158.6+117720.79+307.73+2142.3-1798.49-6.76</f>
        <v>352132.54</v>
      </c>
      <c r="C82" s="3">
        <f>19251.52+2427.4</f>
        <v>21678.920000000002</v>
      </c>
      <c r="D82" s="19">
        <f t="shared" si="6"/>
        <v>6.156465971591266</v>
      </c>
      <c r="E82" s="3">
        <f>508339.09+46249.61+8442.87-14.75-140.55</f>
        <v>562876.27</v>
      </c>
      <c r="F82" s="3">
        <f>2274.19+0.12+1034.75</f>
        <v>3309.06</v>
      </c>
      <c r="G82" s="19">
        <f t="shared" si="5"/>
        <v>0.5878840832995145</v>
      </c>
      <c r="H82" s="5">
        <f t="shared" si="8"/>
        <v>915008.81</v>
      </c>
      <c r="I82" s="5">
        <f t="shared" si="9"/>
        <v>24987.980000000003</v>
      </c>
      <c r="J82" s="19">
        <f t="shared" si="7"/>
        <v>2.730900481712302</v>
      </c>
    </row>
    <row r="83" spans="1:10" ht="12.75">
      <c r="A83" s="1" t="s">
        <v>84</v>
      </c>
      <c r="B83" s="14">
        <f>889056.23+19.52+2622.84+1.22-2810.57</f>
        <v>888889.24</v>
      </c>
      <c r="C83" s="14">
        <v>13074.11</v>
      </c>
      <c r="D83" s="18">
        <f t="shared" si="6"/>
        <v>1.4708367940194664</v>
      </c>
      <c r="E83" s="14">
        <f>351462.57+126.46+271322.47+38417.95+33.02+8030.53-238.01-10.1</f>
        <v>669144.89</v>
      </c>
      <c r="F83" s="14">
        <f>70.66+10.57</f>
        <v>81.22999999999999</v>
      </c>
      <c r="G83" s="18">
        <f t="shared" si="5"/>
        <v>0.012139373880595574</v>
      </c>
      <c r="H83" s="15">
        <f t="shared" si="8"/>
        <v>1558034.13</v>
      </c>
      <c r="I83" s="15">
        <f t="shared" si="9"/>
        <v>13155.34</v>
      </c>
      <c r="J83" s="18">
        <f t="shared" si="7"/>
        <v>0.8443550591539353</v>
      </c>
    </row>
    <row r="84" spans="1:10" ht="12.75">
      <c r="A84" s="1" t="s">
        <v>85</v>
      </c>
      <c r="B84" s="3">
        <f>3924896.02+1515.82+283.27+2799.77+179.54-18141.73</f>
        <v>3911532.69</v>
      </c>
      <c r="C84" s="3">
        <v>97755.3</v>
      </c>
      <c r="D84" s="18">
        <f t="shared" si="6"/>
        <v>2.4991558999344576</v>
      </c>
      <c r="E84" s="22">
        <f>1034507.08+241.98+100218.13+1324380.68+22.25+422.68+2289.62+20.2-626.26-220.51-179.54</f>
        <v>2461076.310000001</v>
      </c>
      <c r="F84" s="3">
        <f>7568.4+3559.32+25.35</f>
        <v>11153.07</v>
      </c>
      <c r="G84" s="19">
        <f t="shared" si="5"/>
        <v>0.45317855259839523</v>
      </c>
      <c r="H84" s="5">
        <f>(B84+F84)</f>
        <v>3922685.76</v>
      </c>
      <c r="I84" s="15">
        <f t="shared" si="9"/>
        <v>108908.37</v>
      </c>
      <c r="J84" s="19">
        <f t="shared" si="7"/>
        <v>2.7763725330881464</v>
      </c>
    </row>
    <row r="85" spans="1:10" ht="12.75">
      <c r="A85" s="1" t="s">
        <v>86</v>
      </c>
      <c r="B85" s="3">
        <f>434649.24+143.35+1897.12+45.14-2492.7</f>
        <v>434242.14999999997</v>
      </c>
      <c r="C85" s="3">
        <v>43706.23</v>
      </c>
      <c r="D85" s="19">
        <f t="shared" si="6"/>
        <v>10.06494417918666</v>
      </c>
      <c r="E85" s="3">
        <f>35097.62+182.88+7257.2+6235.86+2.33+0.16-91.85</f>
        <v>48684.200000000004</v>
      </c>
      <c r="F85" s="3">
        <f>998.5+27.11</f>
        <v>1025.61</v>
      </c>
      <c r="G85" s="19">
        <f t="shared" si="5"/>
        <v>2.1066588338721797</v>
      </c>
      <c r="H85" s="5">
        <f t="shared" si="8"/>
        <v>482926.35</v>
      </c>
      <c r="I85" s="5">
        <f t="shared" si="9"/>
        <v>44731.840000000004</v>
      </c>
      <c r="J85" s="19">
        <f t="shared" si="7"/>
        <v>9.26266292986498</v>
      </c>
    </row>
    <row r="86" spans="1:10" ht="12.75">
      <c r="A86" s="1" t="s">
        <v>87</v>
      </c>
      <c r="B86" s="3">
        <f>432417.79+52.46+6857.09+235.61-1447.77</f>
        <v>438115.18</v>
      </c>
      <c r="C86" s="3">
        <v>10246.4</v>
      </c>
      <c r="D86" s="19">
        <f t="shared" si="6"/>
        <v>2.3387457152249325</v>
      </c>
      <c r="E86" s="3">
        <f>40707.89+7702.37+12158.23+2297.15+34.82</f>
        <v>62900.46000000001</v>
      </c>
      <c r="F86" s="3">
        <f>41.99+15.82</f>
        <v>57.81</v>
      </c>
      <c r="G86" s="19">
        <f t="shared" si="5"/>
        <v>0.09190711800835796</v>
      </c>
      <c r="H86" s="5">
        <f t="shared" si="8"/>
        <v>501015.64</v>
      </c>
      <c r="I86" s="5">
        <f t="shared" si="9"/>
        <v>10304.21</v>
      </c>
      <c r="J86" s="19">
        <f t="shared" si="7"/>
        <v>2.056664338861757</v>
      </c>
    </row>
    <row r="87" spans="1:10" ht="12.75">
      <c r="A87" s="1" t="s">
        <v>88</v>
      </c>
      <c r="B87" s="3">
        <f>1259946.87+186.05+16518.42+18.06-3925.47</f>
        <v>1272743.9300000002</v>
      </c>
      <c r="C87" s="3">
        <f>23500.8+138.88</f>
        <v>23639.68</v>
      </c>
      <c r="D87" s="19">
        <f t="shared" si="6"/>
        <v>1.857379119458853</v>
      </c>
      <c r="E87" s="3">
        <f>161166.06+20.79+92516.68+14212.22+2.58+7.45+56.96-281.32+2.58</f>
        <v>267704.00000000006</v>
      </c>
      <c r="F87" s="3">
        <f>117.59+12.49</f>
        <v>130.08</v>
      </c>
      <c r="G87" s="19">
        <f t="shared" si="5"/>
        <v>0.048590981083584846</v>
      </c>
      <c r="H87" s="5">
        <f t="shared" si="8"/>
        <v>1540447.9300000002</v>
      </c>
      <c r="I87" s="5">
        <f t="shared" si="9"/>
        <v>23769.760000000002</v>
      </c>
      <c r="J87" s="19">
        <f t="shared" si="7"/>
        <v>1.5430420942563114</v>
      </c>
    </row>
    <row r="88" spans="1:10" ht="12.75">
      <c r="A88" s="1" t="s">
        <v>89</v>
      </c>
      <c r="B88" s="3">
        <f>160003.91+73.63+253.18-1767.06</f>
        <v>158563.66</v>
      </c>
      <c r="C88" s="3">
        <v>9960.21</v>
      </c>
      <c r="D88" s="19">
        <f t="shared" si="6"/>
        <v>6.281521251464553</v>
      </c>
      <c r="E88" s="3">
        <f>11979.17+6547.97+2344.05+282.85</f>
        <v>21154.039999999997</v>
      </c>
      <c r="F88" s="3">
        <f>149.54+7.46</f>
        <v>157</v>
      </c>
      <c r="G88" s="19">
        <f t="shared" si="5"/>
        <v>0.7421750171598429</v>
      </c>
      <c r="H88" s="5">
        <f t="shared" si="8"/>
        <v>179717.7</v>
      </c>
      <c r="I88" s="5">
        <f t="shared" si="9"/>
        <v>10117.21</v>
      </c>
      <c r="J88" s="19">
        <f t="shared" si="7"/>
        <v>5.6295011565360555</v>
      </c>
    </row>
    <row r="89" spans="1:10" ht="12.75">
      <c r="A89" s="1" t="s">
        <v>90</v>
      </c>
      <c r="B89" s="14">
        <f>1418303.15+751.4+168.02+278.34-2720.65</f>
        <v>1416780.26</v>
      </c>
      <c r="C89" s="14">
        <v>33900.58</v>
      </c>
      <c r="D89" s="18">
        <f t="shared" si="6"/>
        <v>2.3927902552792486</v>
      </c>
      <c r="E89" s="14">
        <f>171390.76+29.86+288512.03+31760.69+37.77+441.3+110.94+1233.38-141.04-26.16-4.2</f>
        <v>493345.3300000001</v>
      </c>
      <c r="F89" s="14">
        <f>1513.01+15.81+2.25</f>
        <v>1531.07</v>
      </c>
      <c r="G89" s="18">
        <f t="shared" si="5"/>
        <v>0.3103444802041604</v>
      </c>
      <c r="H89" s="15">
        <f t="shared" si="8"/>
        <v>1910125.59</v>
      </c>
      <c r="I89" s="15">
        <f t="shared" si="9"/>
        <v>35431.65</v>
      </c>
      <c r="J89" s="18">
        <f t="shared" si="7"/>
        <v>1.8549382399510181</v>
      </c>
    </row>
    <row r="90" spans="1:10" ht="12.75">
      <c r="A90" s="1" t="s">
        <v>91</v>
      </c>
      <c r="B90" s="3">
        <f>323674.36+1667.33-937.14</f>
        <v>324404.55</v>
      </c>
      <c r="C90" s="3">
        <f>12554.11+430.76</f>
        <v>12984.87</v>
      </c>
      <c r="D90" s="18">
        <f t="shared" si="6"/>
        <v>4.002678137529206</v>
      </c>
      <c r="E90" s="3">
        <f>48873.81+72005.76+15085.52+1.35+0.02-55.02</f>
        <v>135911.44</v>
      </c>
      <c r="F90" s="3">
        <f>153.33+28.23+2.79</f>
        <v>184.35</v>
      </c>
      <c r="G90" s="19">
        <f t="shared" si="5"/>
        <v>0.13563979603188664</v>
      </c>
      <c r="H90" s="5">
        <f t="shared" si="8"/>
        <v>460315.99</v>
      </c>
      <c r="I90" s="5">
        <f t="shared" si="9"/>
        <v>13169.220000000001</v>
      </c>
      <c r="J90" s="19">
        <f t="shared" si="7"/>
        <v>2.8609086553782332</v>
      </c>
    </row>
    <row r="91" spans="1:10" ht="12.75">
      <c r="A91" s="1" t="s">
        <v>92</v>
      </c>
      <c r="B91" s="3">
        <f>334674.86+41.11+153.07+42.09-800.08</f>
        <v>334111.05</v>
      </c>
      <c r="C91" s="3">
        <v>9371.37</v>
      </c>
      <c r="D91" s="19">
        <f t="shared" si="6"/>
        <v>2.804866824967328</v>
      </c>
      <c r="E91" s="3">
        <f>57220.49+21277.11+13949.54+4.85</f>
        <v>92451.99000000002</v>
      </c>
      <c r="F91" s="3">
        <f>193.39+8.13</f>
        <v>201.51999999999998</v>
      </c>
      <c r="G91" s="19">
        <f>F91/E91*100</f>
        <v>0.21797259312644318</v>
      </c>
      <c r="H91" s="5">
        <f t="shared" si="8"/>
        <v>426563.04000000004</v>
      </c>
      <c r="I91" s="5">
        <f t="shared" si="9"/>
        <v>9572.890000000001</v>
      </c>
      <c r="J91" s="19">
        <f t="shared" si="7"/>
        <v>2.244191151675963</v>
      </c>
    </row>
    <row r="92" spans="1:10" ht="12.75">
      <c r="A92" s="1" t="s">
        <v>93</v>
      </c>
      <c r="B92" s="3">
        <f>1375894.18+180.32+560.95+198.34+5367.39-1770.77</f>
        <v>1380430.41</v>
      </c>
      <c r="C92" s="3">
        <v>41390.64</v>
      </c>
      <c r="D92" s="19">
        <f t="shared" si="6"/>
        <v>2.998386568432667</v>
      </c>
      <c r="E92" s="3">
        <f>210494.56+666.66+204123.95+51222.39+275.92+2102.25+3.42-13.5-200.87</f>
        <v>468674.78</v>
      </c>
      <c r="F92" s="3">
        <f>2011.02+162.85</f>
        <v>2173.87</v>
      </c>
      <c r="G92" s="19">
        <f t="shared" si="5"/>
        <v>0.4638333643640905</v>
      </c>
      <c r="H92" s="5">
        <f t="shared" si="8"/>
        <v>1849105.19</v>
      </c>
      <c r="I92" s="5">
        <f t="shared" si="9"/>
        <v>43564.51</v>
      </c>
      <c r="J92" s="19">
        <f t="shared" si="7"/>
        <v>2.355977920325885</v>
      </c>
    </row>
    <row r="93" spans="1:10" ht="12.75">
      <c r="A93" s="1" t="s">
        <v>94</v>
      </c>
      <c r="B93" s="3">
        <f>311548.13+124.44+1707.62+240.02+12.2-2154.08</f>
        <v>311478.33</v>
      </c>
      <c r="C93" s="3">
        <f>18805.81+538.77</f>
        <v>19344.58</v>
      </c>
      <c r="D93" s="19">
        <f t="shared" si="6"/>
        <v>6.210570090060519</v>
      </c>
      <c r="E93" s="3">
        <f>58911.76+5877.06+3086.69+3669.42+12.41</f>
        <v>71557.34</v>
      </c>
      <c r="F93" s="3">
        <f>1270.66+406.11+4</f>
        <v>1680.77</v>
      </c>
      <c r="G93" s="19">
        <f t="shared" si="5"/>
        <v>2.3488435987139824</v>
      </c>
      <c r="H93" s="5">
        <f t="shared" si="8"/>
        <v>383035.67000000004</v>
      </c>
      <c r="I93" s="5">
        <f t="shared" si="9"/>
        <v>21025.350000000002</v>
      </c>
      <c r="J93" s="19">
        <f t="shared" si="7"/>
        <v>5.489136298977064</v>
      </c>
    </row>
    <row r="94" spans="1:10" ht="12.75">
      <c r="A94" s="1" t="s">
        <v>95</v>
      </c>
      <c r="B94" s="3">
        <f>1059516.64+170.19+217.77-10108.31</f>
        <v>1049796.2899999998</v>
      </c>
      <c r="C94" s="3">
        <v>25379.34</v>
      </c>
      <c r="D94" s="19">
        <f t="shared" si="6"/>
        <v>2.417549027535619</v>
      </c>
      <c r="E94" s="3">
        <f>412444.27+69648.23+41968.81+313.74+108.98-181.22-226.15</f>
        <v>524076.66000000003</v>
      </c>
      <c r="F94" s="3">
        <f>3589.57+1409.26+74.89</f>
        <v>5073.72</v>
      </c>
      <c r="G94" s="19">
        <f t="shared" si="5"/>
        <v>0.9681255410229487</v>
      </c>
      <c r="H94" s="5">
        <f t="shared" si="8"/>
        <v>1573872.9499999997</v>
      </c>
      <c r="I94" s="5">
        <f t="shared" si="9"/>
        <v>30453.06</v>
      </c>
      <c r="J94" s="19">
        <f t="shared" si="7"/>
        <v>1.9349122176602631</v>
      </c>
    </row>
    <row r="95" spans="1:10" ht="12.75">
      <c r="A95" s="1" t="s">
        <v>96</v>
      </c>
      <c r="B95" s="14">
        <f>2847660.56+1259.6+535.58+390-9803.36</f>
        <v>2840042.3800000004</v>
      </c>
      <c r="C95" s="14">
        <v>37703.15</v>
      </c>
      <c r="D95" s="18">
        <f t="shared" si="6"/>
        <v>1.327555893725783</v>
      </c>
      <c r="E95" s="14">
        <f>375343.64+510388.08+60552.98+424.73+555.02-6.02-128.2</f>
        <v>947130.23</v>
      </c>
      <c r="F95" s="14">
        <f>1468.07+155.6</f>
        <v>1623.6699999999998</v>
      </c>
      <c r="G95" s="18">
        <f t="shared" si="5"/>
        <v>0.17143049060951204</v>
      </c>
      <c r="H95" s="15">
        <f t="shared" si="8"/>
        <v>3787172.6100000003</v>
      </c>
      <c r="I95" s="15">
        <f t="shared" si="9"/>
        <v>39326.82</v>
      </c>
      <c r="J95" s="18">
        <f t="shared" si="7"/>
        <v>1.038421641943592</v>
      </c>
    </row>
    <row r="96" spans="1:10" ht="12.75">
      <c r="A96" s="1" t="s">
        <v>97</v>
      </c>
      <c r="B96" s="3">
        <f>259672.58+91.5-1110.44</f>
        <v>258653.63999999998</v>
      </c>
      <c r="C96" s="3">
        <v>8367.55</v>
      </c>
      <c r="D96" s="19">
        <f t="shared" si="6"/>
        <v>3.235040496627072</v>
      </c>
      <c r="E96" s="3">
        <f>12855.47+1951.58+1051.79+0.36</f>
        <v>15859.2</v>
      </c>
      <c r="F96" s="3">
        <f>169.22+27.35</f>
        <v>196.57</v>
      </c>
      <c r="G96" s="19">
        <f t="shared" si="5"/>
        <v>1.239469834543987</v>
      </c>
      <c r="H96" s="5">
        <f t="shared" si="8"/>
        <v>274512.83999999997</v>
      </c>
      <c r="I96" s="5">
        <f t="shared" si="9"/>
        <v>8564.119999999999</v>
      </c>
      <c r="J96" s="19">
        <f t="shared" si="7"/>
        <v>3.119752066970711</v>
      </c>
    </row>
    <row r="97" spans="1:10" ht="12.75">
      <c r="A97" s="1" t="s">
        <v>98</v>
      </c>
      <c r="B97" s="3">
        <f>787252.45+82.96+8215.44+274.62-5008.99</f>
        <v>790816.4799999999</v>
      </c>
      <c r="C97" s="3">
        <f>20366.32+512.17</f>
        <v>20878.489999999998</v>
      </c>
      <c r="D97" s="19">
        <f t="shared" si="6"/>
        <v>2.6401182231306057</v>
      </c>
      <c r="E97" s="3">
        <f>606906.13+181620.47+22030.22+334.45+17.78-814.81</f>
        <v>810094.2399999999</v>
      </c>
      <c r="F97" s="3">
        <f>1272.2+4.5</f>
        <v>1276.7</v>
      </c>
      <c r="G97" s="19">
        <f t="shared" si="5"/>
        <v>0.15759894799400131</v>
      </c>
      <c r="H97" s="5">
        <f t="shared" si="8"/>
        <v>1600910.7199999997</v>
      </c>
      <c r="I97" s="5">
        <f t="shared" si="9"/>
        <v>22155.19</v>
      </c>
      <c r="J97" s="19">
        <f t="shared" si="7"/>
        <v>1.3839116524874044</v>
      </c>
    </row>
    <row r="98" spans="1:10" ht="12.75">
      <c r="A98" s="1" t="s">
        <v>99</v>
      </c>
      <c r="B98" s="3">
        <f>6588546.75+1187.06+998.38+6630.25+-31274.86</f>
        <v>6566087.579999999</v>
      </c>
      <c r="C98" s="3">
        <v>66574.63</v>
      </c>
      <c r="D98" s="19">
        <f t="shared" si="6"/>
        <v>1.013916265795529</v>
      </c>
      <c r="E98" s="3">
        <f>213842.98+1045.58+31134.17+25288.35+713.64+35.75-1129.71-0.06-1.5</f>
        <v>270929.19999999995</v>
      </c>
      <c r="F98" s="3">
        <f>6604.89+973.82+476.75+16.95+1.07</f>
        <v>8073.48</v>
      </c>
      <c r="G98" s="19">
        <f t="shared" si="5"/>
        <v>2.9799224299189606</v>
      </c>
      <c r="H98" s="5">
        <f t="shared" si="8"/>
        <v>6837016.779999999</v>
      </c>
      <c r="I98" s="5">
        <f t="shared" si="9"/>
        <v>74648.11</v>
      </c>
      <c r="J98" s="19">
        <f t="shared" si="7"/>
        <v>1.0918228286109313</v>
      </c>
    </row>
    <row r="99" spans="1:10" ht="12.75">
      <c r="A99" s="1" t="s">
        <v>100</v>
      </c>
      <c r="B99" s="3">
        <f>529281.6+15.86+535.89-2109.75</f>
        <v>527723.6</v>
      </c>
      <c r="C99" s="3">
        <f>11325.99+300.49</f>
        <v>11626.48</v>
      </c>
      <c r="D99" s="19">
        <f t="shared" si="6"/>
        <v>2.2031381579296436</v>
      </c>
      <c r="E99" s="3">
        <f>48408.02+197.51+7299.04+5296.27+304.5+28.49+6.79-44.09-65.84-304.6</f>
        <v>61126.090000000004</v>
      </c>
      <c r="F99" s="3">
        <f>1876.95+165.02</f>
        <v>2041.97</v>
      </c>
      <c r="G99" s="19">
        <f t="shared" si="5"/>
        <v>3.340586646389455</v>
      </c>
      <c r="H99" s="5">
        <f t="shared" si="8"/>
        <v>588849.69</v>
      </c>
      <c r="I99" s="5">
        <f t="shared" si="9"/>
        <v>13668.449999999999</v>
      </c>
      <c r="J99" s="19">
        <f t="shared" si="7"/>
        <v>2.321212056679524</v>
      </c>
    </row>
    <row r="100" spans="1:10" ht="12.75">
      <c r="A100" s="1" t="s">
        <v>101</v>
      </c>
      <c r="B100" s="3">
        <f>93085.82+31.11+535.89-1560.99</f>
        <v>92091.83</v>
      </c>
      <c r="C100" s="3">
        <v>8170.04</v>
      </c>
      <c r="D100" s="19">
        <f t="shared" si="6"/>
        <v>8.87162303105498</v>
      </c>
      <c r="E100" s="3">
        <f>11606.25+1492.93+555.25-33.98</f>
        <v>13620.45</v>
      </c>
      <c r="F100" s="3">
        <f>433.69+2.48</f>
        <v>436.17</v>
      </c>
      <c r="G100" s="19">
        <f t="shared" si="5"/>
        <v>3.2023171040604383</v>
      </c>
      <c r="H100" s="5">
        <f t="shared" si="8"/>
        <v>105712.28</v>
      </c>
      <c r="I100" s="5">
        <f t="shared" si="9"/>
        <v>8606.21</v>
      </c>
      <c r="J100" s="19">
        <f t="shared" si="7"/>
        <v>8.14116392154251</v>
      </c>
    </row>
    <row r="101" spans="1:10" ht="12.75">
      <c r="A101" s="1" t="s">
        <v>102</v>
      </c>
      <c r="B101" s="14">
        <f>636960.11+41.48+2772.93-899.75</f>
        <v>638874.77</v>
      </c>
      <c r="C101" s="14">
        <v>16785.75</v>
      </c>
      <c r="D101" s="18">
        <f t="shared" si="6"/>
        <v>2.6273928457058964</v>
      </c>
      <c r="E101" s="14">
        <f>92509.17+668.02+106594.64+6191.06+98.2+0.05-31.5-222.67</f>
        <v>205806.97</v>
      </c>
      <c r="F101" s="14">
        <f>154.07+30+5.85</f>
        <v>189.92</v>
      </c>
      <c r="G101" s="18">
        <f t="shared" si="5"/>
        <v>0.09228064530564732</v>
      </c>
      <c r="H101" s="15">
        <f t="shared" si="8"/>
        <v>844681.74</v>
      </c>
      <c r="I101" s="15">
        <f t="shared" si="9"/>
        <v>16975.67</v>
      </c>
      <c r="J101" s="18">
        <f t="shared" si="7"/>
        <v>2.0097119655978357</v>
      </c>
    </row>
    <row r="102" spans="1:10" ht="12.75">
      <c r="A102" s="1" t="s">
        <v>103</v>
      </c>
      <c r="B102" s="3">
        <f>942170.47+155573.29+2243.58-7950.51</f>
        <v>1092036.83</v>
      </c>
      <c r="C102" s="3">
        <v>87172.52</v>
      </c>
      <c r="D102" s="19">
        <f t="shared" si="6"/>
        <v>7.982562273105752</v>
      </c>
      <c r="E102" s="3">
        <f>1284914.16+93383.06+40540.58+8716.04</f>
        <v>1427553.84</v>
      </c>
      <c r="F102" s="3">
        <f>124289.83+408.93+172.5</f>
        <v>124871.26</v>
      </c>
      <c r="G102" s="19">
        <f t="shared" si="5"/>
        <v>8.747218949024017</v>
      </c>
      <c r="H102" s="5">
        <f t="shared" si="8"/>
        <v>2519590.67</v>
      </c>
      <c r="I102" s="5">
        <f t="shared" si="9"/>
        <v>212043.78</v>
      </c>
      <c r="J102" s="19">
        <f t="shared" si="7"/>
        <v>8.415802714494097</v>
      </c>
    </row>
    <row r="103" spans="1:10" ht="12.75">
      <c r="A103" s="1" t="s">
        <v>104</v>
      </c>
      <c r="B103" s="3">
        <f>1798061.37+563951.87+2621.34-9703.94</f>
        <v>2354930.64</v>
      </c>
      <c r="C103" s="3">
        <v>140770.83</v>
      </c>
      <c r="D103" s="19">
        <f t="shared" si="6"/>
        <v>5.977705993073324</v>
      </c>
      <c r="E103" s="3">
        <f>2083582.73+26708.48+298594.75+82591.46+195.54+604.68+0.49-33052.24</f>
        <v>2459225.89</v>
      </c>
      <c r="F103" s="3">
        <f>31204.47+386.12</f>
        <v>31590.59</v>
      </c>
      <c r="G103" s="19">
        <f t="shared" si="5"/>
        <v>1.2845745536616808</v>
      </c>
      <c r="H103" s="5">
        <f t="shared" si="8"/>
        <v>4814156.53</v>
      </c>
      <c r="I103" s="5">
        <f t="shared" si="9"/>
        <v>172361.41999999998</v>
      </c>
      <c r="J103" s="19">
        <f t="shared" si="7"/>
        <v>3.58030360928044</v>
      </c>
    </row>
    <row r="104" spans="1:10" ht="12.75">
      <c r="A104" s="1" t="s">
        <v>105</v>
      </c>
      <c r="B104" s="3">
        <f>445811.38+825.69+251.09-5392.57</f>
        <v>441495.59</v>
      </c>
      <c r="C104" s="3">
        <v>21170.99</v>
      </c>
      <c r="D104" s="19">
        <f t="shared" si="6"/>
        <v>4.79528912168749</v>
      </c>
      <c r="E104" s="3">
        <f>47573.83+14.13+14767.16+7210.3+24.98-14.13-6</f>
        <v>69570.26999999999</v>
      </c>
      <c r="F104" s="3">
        <f>312.05+1274.27+617</f>
        <v>2203.3199999999997</v>
      </c>
      <c r="G104" s="19">
        <f t="shared" si="5"/>
        <v>3.1670424737463287</v>
      </c>
      <c r="H104" s="5">
        <f t="shared" si="8"/>
        <v>511065.86</v>
      </c>
      <c r="I104" s="5">
        <f t="shared" si="9"/>
        <v>23374.31</v>
      </c>
      <c r="J104" s="19">
        <f t="shared" si="7"/>
        <v>4.573639491395493</v>
      </c>
    </row>
    <row r="105" spans="1:10" ht="12.75">
      <c r="A105" s="1" t="s">
        <v>106</v>
      </c>
      <c r="B105" s="3">
        <f>3740681.58+423.29+1562.19+1174.25-25155.12</f>
        <v>3718686.19</v>
      </c>
      <c r="C105" s="3">
        <v>99050.07</v>
      </c>
      <c r="D105" s="19">
        <f t="shared" si="6"/>
        <v>2.6635769984129802</v>
      </c>
      <c r="E105" s="3">
        <f>688112.18+638.12+105.85+249745.09+90030.47+0.1+2041.83+11+31.47-1677.77-0.6</f>
        <v>1029037.7399999999</v>
      </c>
      <c r="F105" s="3">
        <f>84133.36+69.44+751.7</f>
        <v>84954.5</v>
      </c>
      <c r="G105" s="19">
        <f t="shared" si="5"/>
        <v>8.255722477195055</v>
      </c>
      <c r="H105" s="5">
        <f t="shared" si="8"/>
        <v>4747723.93</v>
      </c>
      <c r="I105" s="5">
        <f t="shared" si="9"/>
        <v>184004.57</v>
      </c>
      <c r="J105" s="19">
        <f t="shared" si="7"/>
        <v>3.8756375204823676</v>
      </c>
    </row>
    <row r="106" spans="1:10" ht="12.75">
      <c r="A106" s="1" t="s">
        <v>107</v>
      </c>
      <c r="B106" s="3">
        <f>70398.37+9.76-181.78</f>
        <v>70226.34999999999</v>
      </c>
      <c r="C106" s="3">
        <v>1065.17</v>
      </c>
      <c r="D106" s="19">
        <f t="shared" si="6"/>
        <v>1.516766854606569</v>
      </c>
      <c r="E106" s="3">
        <f>3539.61+95.55</f>
        <v>3635.1600000000003</v>
      </c>
      <c r="F106" s="3">
        <f>1.21+1</f>
        <v>2.21</v>
      </c>
      <c r="G106" s="19">
        <f t="shared" si="5"/>
        <v>0.060795123185774486</v>
      </c>
      <c r="H106" s="5">
        <f t="shared" si="8"/>
        <v>73861.51</v>
      </c>
      <c r="I106" s="5">
        <f t="shared" si="9"/>
        <v>1067.38</v>
      </c>
      <c r="J106" s="19">
        <f t="shared" si="7"/>
        <v>1.4451099090717212</v>
      </c>
    </row>
    <row r="107" spans="1:10" ht="12.75">
      <c r="A107" s="1" t="s">
        <v>108</v>
      </c>
      <c r="B107" s="3">
        <f>444090.96+41.48+283.31+314.15-3771.87</f>
        <v>440958.03</v>
      </c>
      <c r="C107" s="3">
        <v>16305.91</v>
      </c>
      <c r="D107" s="19">
        <f t="shared" si="6"/>
        <v>3.697837184187348</v>
      </c>
      <c r="E107" s="3">
        <f>87524.49+13530.47+4579.1+4.77</f>
        <v>105638.83000000002</v>
      </c>
      <c r="F107" s="3">
        <f>780.71+5.2</f>
        <v>785.9100000000001</v>
      </c>
      <c r="G107" s="19">
        <f t="shared" si="5"/>
        <v>0.7439593944764439</v>
      </c>
      <c r="H107" s="5">
        <f t="shared" si="8"/>
        <v>546596.8600000001</v>
      </c>
      <c r="I107" s="5">
        <f t="shared" si="9"/>
        <v>17091.82</v>
      </c>
      <c r="J107" s="19">
        <f t="shared" si="7"/>
        <v>3.126951735507591</v>
      </c>
    </row>
    <row r="108" spans="1:10" ht="12.75">
      <c r="A108" s="1" t="s">
        <v>109</v>
      </c>
      <c r="B108" s="14">
        <f>1047767.73+215.27+86.38+484.87-6154.37</f>
        <v>1042399.88</v>
      </c>
      <c r="C108" s="14">
        <f>47131.52+240.58</f>
        <v>47372.1</v>
      </c>
      <c r="D108" s="18">
        <f t="shared" si="6"/>
        <v>4.544522779492262</v>
      </c>
      <c r="E108" s="14">
        <f>200828.08+7.76+84294.29+28244.69+252.33-25</f>
        <v>313602.15</v>
      </c>
      <c r="F108" s="14">
        <f>3268.6+977.59+226.12</f>
        <v>4472.3099999999995</v>
      </c>
      <c r="G108" s="18">
        <f t="shared" si="5"/>
        <v>1.4261094829866439</v>
      </c>
      <c r="H108" s="15">
        <f t="shared" si="8"/>
        <v>1356002.03</v>
      </c>
      <c r="I108" s="15">
        <f t="shared" si="9"/>
        <v>51844.409999999996</v>
      </c>
      <c r="J108" s="18">
        <f t="shared" si="7"/>
        <v>3.8233283470821937</v>
      </c>
    </row>
    <row r="109" spans="1:10" ht="12.75">
      <c r="A109" s="1" t="s">
        <v>110</v>
      </c>
      <c r="B109" s="3">
        <f>953464.82+70.39+293.46+80.16+1500-3581.28</f>
        <v>951827.5499999999</v>
      </c>
      <c r="C109" s="3">
        <v>18444.88</v>
      </c>
      <c r="D109" s="19">
        <f t="shared" si="6"/>
        <v>1.9378384246179892</v>
      </c>
      <c r="E109" s="3">
        <f>265882.91+68235.94+39567.62+25+4022.94+0.53-211.02-25-292.85</f>
        <v>377206.07</v>
      </c>
      <c r="F109" s="3">
        <f>1946.79+14.18+84.49</f>
        <v>2045.46</v>
      </c>
      <c r="G109" s="19">
        <f t="shared" si="5"/>
        <v>0.5422659290716081</v>
      </c>
      <c r="H109" s="5">
        <f t="shared" si="8"/>
        <v>1329033.6199999999</v>
      </c>
      <c r="I109" s="5">
        <f t="shared" si="9"/>
        <v>20490.34</v>
      </c>
      <c r="J109" s="19">
        <f t="shared" si="7"/>
        <v>1.5417473035783702</v>
      </c>
    </row>
    <row r="110" spans="1:10" ht="12.75">
      <c r="A110" s="1" t="s">
        <v>111</v>
      </c>
      <c r="B110" s="3">
        <f>4117148.06+211.06+663.36+6132.81+57000-7696.86</f>
        <v>4173458.43</v>
      </c>
      <c r="C110" s="3">
        <v>86356.2</v>
      </c>
      <c r="D110" s="19">
        <f t="shared" si="6"/>
        <v>2.069175995123066</v>
      </c>
      <c r="E110" s="3">
        <f>407165.77+225.63+304660.16+92147.6+1236.54+793.2+11140.37-350.93</f>
        <v>817018.34</v>
      </c>
      <c r="F110" s="3">
        <f>4217.45+35.46+107.94+28.5+17.36</f>
        <v>4406.709999999999</v>
      </c>
      <c r="G110" s="19">
        <f t="shared" si="5"/>
        <v>0.5393648813317947</v>
      </c>
      <c r="H110" s="5">
        <f t="shared" si="8"/>
        <v>4990476.7700000005</v>
      </c>
      <c r="I110" s="5">
        <f t="shared" si="9"/>
        <v>90762.91</v>
      </c>
      <c r="J110" s="19">
        <f t="shared" si="7"/>
        <v>1.8187222220052535</v>
      </c>
    </row>
    <row r="111" spans="1:10" ht="12.75">
      <c r="A111" s="1" t="s">
        <v>112</v>
      </c>
      <c r="B111" s="14">
        <f>3193851.82+1171.35+181.46-9819.72</f>
        <v>3185384.9099999997</v>
      </c>
      <c r="C111" s="14">
        <v>56925.72</v>
      </c>
      <c r="D111" s="18">
        <f t="shared" si="6"/>
        <v>1.7870907789288175</v>
      </c>
      <c r="E111" s="14">
        <f>484696.88+11.22+3026.46+298618.49+82406.76+217.95+175.63+16.41-7439.04-441.15</f>
        <v>861289.61</v>
      </c>
      <c r="F111" s="14">
        <f>2986.66+74.53</f>
        <v>3061.19</v>
      </c>
      <c r="G111" s="18">
        <f t="shared" si="5"/>
        <v>0.35541935772335626</v>
      </c>
      <c r="H111" s="15">
        <f t="shared" si="8"/>
        <v>4046674.5199999996</v>
      </c>
      <c r="I111" s="15">
        <f t="shared" si="9"/>
        <v>59986.91</v>
      </c>
      <c r="J111" s="18">
        <f t="shared" si="7"/>
        <v>1.4823754592449903</v>
      </c>
    </row>
    <row r="112" spans="1:10" ht="12.75">
      <c r="A112" s="1" t="s">
        <v>113</v>
      </c>
      <c r="B112" s="3">
        <f>1185218.2+41.48+513.32+140.3-1561.23</f>
        <v>1184352.07</v>
      </c>
      <c r="C112" s="3">
        <f>28469.7+11.54</f>
        <v>28481.24</v>
      </c>
      <c r="D112" s="19">
        <f t="shared" si="6"/>
        <v>2.4047950538896767</v>
      </c>
      <c r="E112" s="3">
        <f>244545.31+305573.42+61655.12+1379.14+216.56-26172.95</f>
        <v>587196.6000000001</v>
      </c>
      <c r="F112" s="3">
        <f>562.46+7.4</f>
        <v>569.86</v>
      </c>
      <c r="G112" s="19">
        <f t="shared" si="5"/>
        <v>0.09704756464870538</v>
      </c>
      <c r="H112" s="5">
        <f t="shared" si="8"/>
        <v>1771548.6700000002</v>
      </c>
      <c r="I112" s="5">
        <f t="shared" si="9"/>
        <v>29051.100000000002</v>
      </c>
      <c r="J112" s="19">
        <f t="shared" si="7"/>
        <v>1.639870272375864</v>
      </c>
    </row>
    <row r="113" spans="1:10" ht="12.75">
      <c r="A113" s="1" t="s">
        <v>114</v>
      </c>
      <c r="B113" s="3">
        <f>1219874.06+165.92+2086.58-2215.06</f>
        <v>1219911.5</v>
      </c>
      <c r="C113" s="3">
        <v>20034.29</v>
      </c>
      <c r="D113" s="19">
        <f t="shared" si="6"/>
        <v>1.6422740502077406</v>
      </c>
      <c r="E113" s="3">
        <f>33042.97+230.88+1581.59+126.46+4.91-68.39</f>
        <v>34918.42</v>
      </c>
      <c r="F113" s="3">
        <f>367.36+0.5+0.06</f>
        <v>367.92</v>
      </c>
      <c r="G113" s="19">
        <f t="shared" si="5"/>
        <v>1.0536559214305803</v>
      </c>
      <c r="H113" s="5">
        <f t="shared" si="8"/>
        <v>1254829.92</v>
      </c>
      <c r="I113" s="5">
        <f t="shared" si="9"/>
        <v>20402.21</v>
      </c>
      <c r="J113" s="19">
        <f t="shared" si="7"/>
        <v>1.6258944479105184</v>
      </c>
    </row>
    <row r="114" spans="1:10" ht="12.75">
      <c r="A114" s="1" t="s">
        <v>115</v>
      </c>
      <c r="B114" s="14">
        <f>1178311.57+15.21+111.46-5910.69</f>
        <v>1172527.55</v>
      </c>
      <c r="C114" s="14">
        <v>34973.28</v>
      </c>
      <c r="D114" s="18">
        <f t="shared" si="6"/>
        <v>2.9827256510945093</v>
      </c>
      <c r="E114" s="14">
        <f>299798.06+260.28+74463.69+29071.53+946.16+21.6+1.06-1023.83</f>
        <v>403538.55</v>
      </c>
      <c r="F114" s="14">
        <f>7028.76+22544.49+2647.56+6</f>
        <v>32226.81</v>
      </c>
      <c r="G114" s="18">
        <f t="shared" si="5"/>
        <v>7.9860548639033375</v>
      </c>
      <c r="H114" s="15">
        <f t="shared" si="8"/>
        <v>1576066.1</v>
      </c>
      <c r="I114" s="15">
        <f t="shared" si="9"/>
        <v>67200.09</v>
      </c>
      <c r="J114" s="18">
        <f t="shared" si="7"/>
        <v>4.263786271400672</v>
      </c>
    </row>
    <row r="115" spans="1:10" ht="12.75">
      <c r="A115" s="1" t="s">
        <v>116</v>
      </c>
      <c r="B115" s="3">
        <f>489625.72+210.36+208.34-980.18</f>
        <v>489064.24</v>
      </c>
      <c r="C115" s="3">
        <v>10492.42</v>
      </c>
      <c r="D115" s="19">
        <f t="shared" si="6"/>
        <v>2.14540731908757</v>
      </c>
      <c r="E115" s="3">
        <f>53997.57+17763.32+8631.97+662.75+19.76</f>
        <v>81075.37</v>
      </c>
      <c r="F115" s="3">
        <v>21.73</v>
      </c>
      <c r="G115" s="19">
        <f aca="true" t="shared" si="10" ref="G115:G125">F115/E115*100</f>
        <v>0.026802221192453395</v>
      </c>
      <c r="H115" s="5">
        <f t="shared" si="8"/>
        <v>570139.61</v>
      </c>
      <c r="I115" s="5">
        <f t="shared" si="9"/>
        <v>10514.15</v>
      </c>
      <c r="J115" s="19">
        <f t="shared" si="7"/>
        <v>1.844136035382632</v>
      </c>
    </row>
    <row r="116" spans="1:10" ht="12.75">
      <c r="A116" s="1" t="s">
        <v>117</v>
      </c>
      <c r="B116" s="3">
        <f>906953.62+164.25+41.48-3348.95</f>
        <v>903810.4</v>
      </c>
      <c r="C116" s="3">
        <v>11132.83</v>
      </c>
      <c r="D116" s="19">
        <f t="shared" si="6"/>
        <v>1.2317660872236034</v>
      </c>
      <c r="E116" s="3">
        <f>49689.12+18860.23+9059+21601.04+18.1+15.45</f>
        <v>99242.94000000002</v>
      </c>
      <c r="F116" s="3">
        <f>525.97+2.45</f>
        <v>528.4200000000001</v>
      </c>
      <c r="G116" s="19">
        <f t="shared" si="10"/>
        <v>0.5324509733387583</v>
      </c>
      <c r="H116" s="5">
        <f t="shared" si="8"/>
        <v>1003053.3400000001</v>
      </c>
      <c r="I116" s="5">
        <f t="shared" si="9"/>
        <v>11661.25</v>
      </c>
      <c r="J116" s="19">
        <f t="shared" si="7"/>
        <v>1.1625752624481565</v>
      </c>
    </row>
    <row r="117" spans="1:10" ht="12.75">
      <c r="A117" s="1" t="s">
        <v>118</v>
      </c>
      <c r="B117" s="14">
        <f>361165.97+41.48+20.52+50.02-1383.72</f>
        <v>359894.27</v>
      </c>
      <c r="C117" s="14">
        <v>14806.04</v>
      </c>
      <c r="D117" s="18">
        <f t="shared" si="6"/>
        <v>4.1139971469954215</v>
      </c>
      <c r="E117" s="14">
        <f>26497.6+3075.26+986.39-3855.03</f>
        <v>26704.22</v>
      </c>
      <c r="F117" s="14">
        <f>544.11+18.39</f>
        <v>562.5</v>
      </c>
      <c r="G117" s="18">
        <f t="shared" si="10"/>
        <v>2.106408650018611</v>
      </c>
      <c r="H117" s="15">
        <f t="shared" si="8"/>
        <v>386598.49</v>
      </c>
      <c r="I117" s="15">
        <f t="shared" si="9"/>
        <v>15368.54</v>
      </c>
      <c r="J117" s="18">
        <f t="shared" si="7"/>
        <v>3.975323338691778</v>
      </c>
    </row>
    <row r="118" spans="1:10" ht="12.75">
      <c r="A118" s="1" t="s">
        <v>119</v>
      </c>
      <c r="B118" s="3">
        <f>588409.12+41.48+32506.77+196.5-691.94</f>
        <v>620461.93</v>
      </c>
      <c r="C118" s="3">
        <f>1530.51+9942.63</f>
        <v>11473.14</v>
      </c>
      <c r="D118" s="19">
        <f t="shared" si="6"/>
        <v>1.849128761211828</v>
      </c>
      <c r="E118" s="3">
        <f>728192.21+53.6+9.09+157686.09+23776.18+1632.06+21.8-100.61-0.22</f>
        <v>911270.2000000001</v>
      </c>
      <c r="F118" s="3">
        <v>0</v>
      </c>
      <c r="G118" s="19">
        <f t="shared" si="10"/>
        <v>0</v>
      </c>
      <c r="H118" s="5">
        <f t="shared" si="8"/>
        <v>1531732.1300000001</v>
      </c>
      <c r="I118" s="5">
        <f t="shared" si="9"/>
        <v>11473.14</v>
      </c>
      <c r="J118" s="19">
        <f t="shared" si="7"/>
        <v>0.7490304456824314</v>
      </c>
    </row>
    <row r="119" spans="1:10" ht="12.75">
      <c r="A119" s="1" t="s">
        <v>120</v>
      </c>
      <c r="B119" s="3">
        <f>7863030.63+576.76+8379.28+3455.07+32838.96-14434.33</f>
        <v>7893846.37</v>
      </c>
      <c r="C119" s="3">
        <v>106450.65</v>
      </c>
      <c r="D119" s="19">
        <f t="shared" si="6"/>
        <v>1.3485270045862319</v>
      </c>
      <c r="E119" s="3">
        <f>1560332.58+138.61+913997.07+36.56+252635.57+18.09+22720.28+6.38+15.46+12.73-1298.43-86.38-6.38</f>
        <v>2748522.1399999997</v>
      </c>
      <c r="F119" s="3">
        <f>11437.17+1692.61+611.63</f>
        <v>13741.41</v>
      </c>
      <c r="G119" s="19">
        <f t="shared" si="10"/>
        <v>0.499956314705182</v>
      </c>
      <c r="H119" s="5">
        <f t="shared" si="8"/>
        <v>10642368.51</v>
      </c>
      <c r="I119" s="5">
        <f t="shared" si="9"/>
        <v>120192.06</v>
      </c>
      <c r="J119" s="19">
        <f t="shared" si="7"/>
        <v>1.1293732206985942</v>
      </c>
    </row>
    <row r="120" spans="1:10" ht="12.75">
      <c r="A120" s="1" t="s">
        <v>121</v>
      </c>
      <c r="B120" s="14">
        <f>561530.1+41.48-1046.02</f>
        <v>560525.5599999999</v>
      </c>
      <c r="C120" s="14">
        <v>6600.93</v>
      </c>
      <c r="D120" s="18">
        <f t="shared" si="6"/>
        <v>1.17763229209387</v>
      </c>
      <c r="E120" s="14">
        <f>90142.37+82182.27+16182.55+101.94+12.08</f>
        <v>188621.21</v>
      </c>
      <c r="F120" s="14">
        <f>211.73+3.3</f>
        <v>215.03</v>
      </c>
      <c r="G120" s="18">
        <f t="shared" si="10"/>
        <v>0.11400096521488755</v>
      </c>
      <c r="H120" s="15">
        <f t="shared" si="8"/>
        <v>749146.7699999999</v>
      </c>
      <c r="I120" s="15">
        <f t="shared" si="9"/>
        <v>6815.96</v>
      </c>
      <c r="J120" s="18">
        <f t="shared" si="7"/>
        <v>0.9098297253554202</v>
      </c>
    </row>
    <row r="121" spans="1:10" ht="12.75">
      <c r="A121" s="1" t="s">
        <v>122</v>
      </c>
      <c r="B121" s="3">
        <f>818183.13+2047.16+742.32+31.89-2591</f>
        <v>818413.5</v>
      </c>
      <c r="C121" s="3">
        <v>16768.52</v>
      </c>
      <c r="D121" s="19">
        <f t="shared" si="6"/>
        <v>2.048905596009841</v>
      </c>
      <c r="E121" s="3">
        <f>88427.61+56911.31+17312.1+1858.14+15+58.21-698.78-38.71</f>
        <v>163844.88</v>
      </c>
      <c r="F121" s="3">
        <f>3809.07+1171.29+25.8+50.25</f>
        <v>5056.410000000001</v>
      </c>
      <c r="G121" s="19">
        <f t="shared" si="10"/>
        <v>3.086095824294296</v>
      </c>
      <c r="H121" s="5">
        <f t="shared" si="8"/>
        <v>982258.38</v>
      </c>
      <c r="I121" s="5">
        <f t="shared" si="9"/>
        <v>21824.93</v>
      </c>
      <c r="J121" s="19">
        <f t="shared" si="7"/>
        <v>2.2219133421900663</v>
      </c>
    </row>
    <row r="122" spans="1:10" ht="12.75">
      <c r="A122" s="1" t="s">
        <v>123</v>
      </c>
      <c r="B122" s="3">
        <f>447443.87+20.62+13079.5+224.97+2176.33-665.89</f>
        <v>462279.39999999997</v>
      </c>
      <c r="C122" s="3">
        <v>9483.52</v>
      </c>
      <c r="D122" s="19">
        <f t="shared" si="6"/>
        <v>2.0514693062247638</v>
      </c>
      <c r="E122" s="3">
        <f>341970.11+46303.13+12102.26+7.62</f>
        <v>400383.12</v>
      </c>
      <c r="F122" s="3">
        <f>84.65+30.25</f>
        <v>114.9</v>
      </c>
      <c r="G122" s="19">
        <f t="shared" si="10"/>
        <v>0.028697513521549062</v>
      </c>
      <c r="H122" s="5">
        <f t="shared" si="8"/>
        <v>862662.52</v>
      </c>
      <c r="I122" s="5">
        <f t="shared" si="9"/>
        <v>9598.42</v>
      </c>
      <c r="J122" s="19">
        <f t="shared" si="7"/>
        <v>1.1126506342248415</v>
      </c>
    </row>
    <row r="123" spans="1:10" ht="12.75">
      <c r="A123" s="1" t="s">
        <v>124</v>
      </c>
      <c r="B123" s="3">
        <f>1189307.53+576.45+26464.96+3358.95+405-16238.74</f>
        <v>1203874.15</v>
      </c>
      <c r="C123" s="3">
        <v>92784.42</v>
      </c>
      <c r="D123" s="19">
        <f t="shared" si="6"/>
        <v>7.707152778386346</v>
      </c>
      <c r="E123" s="3">
        <f>214854.75+66.32+7511.49+73952.46+3569.03+38474.11+1818.09+335.94+0.13-6777.53-3553.48-1508.77</f>
        <v>328742.54000000004</v>
      </c>
      <c r="F123" s="3">
        <f>4721.12+15.55+138.54</f>
        <v>4875.21</v>
      </c>
      <c r="G123" s="19">
        <f t="shared" si="10"/>
        <v>1.4829872641368531</v>
      </c>
      <c r="H123" s="5">
        <f t="shared" si="8"/>
        <v>1532616.69</v>
      </c>
      <c r="I123" s="5">
        <f t="shared" si="9"/>
        <v>97659.63</v>
      </c>
      <c r="J123" s="19">
        <f t="shared" si="7"/>
        <v>6.372084464250484</v>
      </c>
    </row>
    <row r="124" spans="1:10" ht="12.75">
      <c r="A124" s="1" t="s">
        <v>125</v>
      </c>
      <c r="B124" s="3">
        <f>182431.73+9501.66-1822.68</f>
        <v>190110.71000000002</v>
      </c>
      <c r="C124" s="3">
        <v>10336.76</v>
      </c>
      <c r="D124" s="19">
        <f t="shared" si="6"/>
        <v>5.437231810874831</v>
      </c>
      <c r="E124" s="3">
        <f>20541.26+609.91+6795.61-229.64-51.6</f>
        <v>27665.54</v>
      </c>
      <c r="F124" s="3">
        <f>167.49+7.72+10</f>
        <v>185.21</v>
      </c>
      <c r="G124" s="19">
        <f t="shared" si="10"/>
        <v>0.6694609973273611</v>
      </c>
      <c r="H124" s="5">
        <f t="shared" si="8"/>
        <v>217776.25000000003</v>
      </c>
      <c r="I124" s="5">
        <f t="shared" si="9"/>
        <v>10521.97</v>
      </c>
      <c r="J124" s="19">
        <f t="shared" si="7"/>
        <v>4.831550731542121</v>
      </c>
    </row>
    <row r="125" spans="1:10" ht="12.75">
      <c r="A125" s="1" t="s">
        <v>126</v>
      </c>
      <c r="B125" s="3">
        <f>2450489.59+39.04-3650.97</f>
        <v>2446877.6599999997</v>
      </c>
      <c r="C125" s="3">
        <v>48342.26</v>
      </c>
      <c r="D125" s="19">
        <f t="shared" si="6"/>
        <v>1.9756713132932036</v>
      </c>
      <c r="E125" s="3">
        <f>194207.11+319800.72+66248.08+113.48+1878.16</f>
        <v>582247.5499999999</v>
      </c>
      <c r="F125" s="3">
        <f>1507.95+43.49+0.36</f>
        <v>1551.8</v>
      </c>
      <c r="G125" s="19">
        <f t="shared" si="10"/>
        <v>0.26651894026861944</v>
      </c>
      <c r="H125" s="5">
        <f t="shared" si="8"/>
        <v>3029125.2099999995</v>
      </c>
      <c r="I125" s="5">
        <f t="shared" si="9"/>
        <v>49894.060000000005</v>
      </c>
      <c r="J125" s="19">
        <f t="shared" si="7"/>
        <v>1.647144193157998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270602893.8100001</v>
      </c>
      <c r="C127" s="12">
        <f>SUM(C6:C125)</f>
        <v>5612519.619999999</v>
      </c>
      <c r="D127" s="21">
        <f>C127/B127*100</f>
        <v>2.074079674824449</v>
      </c>
      <c r="E127" s="12">
        <f>SUM(E6:E125)</f>
        <v>84190187.71</v>
      </c>
      <c r="F127" s="12">
        <f>SUM(F6:F125)</f>
        <v>1052614.1300000001</v>
      </c>
      <c r="G127" s="21">
        <f>F127/E127*100</f>
        <v>1.2502812484820867</v>
      </c>
      <c r="H127" s="12">
        <f>SUM(H6:H125)</f>
        <v>352205864.6199999</v>
      </c>
      <c r="I127" s="12">
        <f>SUM(I6:I125)</f>
        <v>6654227.809999997</v>
      </c>
      <c r="J127" s="21">
        <f>I127/H127*100</f>
        <v>1.8893006841834794</v>
      </c>
    </row>
    <row r="129" spans="1:10" ht="12.75">
      <c r="A129" s="17">
        <v>41289</v>
      </c>
      <c r="B129" s="25" t="s">
        <v>128</v>
      </c>
      <c r="C129" s="25"/>
      <c r="D129" s="25"/>
      <c r="E129" s="25"/>
      <c r="F129" s="25"/>
      <c r="G129" s="25"/>
      <c r="H129" s="25"/>
      <c r="I129" s="25"/>
      <c r="J129" s="25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</dc:title>
  <dc:subject/>
  <dc:creator>rev0760</dc:creator>
  <cp:keywords/>
  <dc:description/>
  <cp:lastModifiedBy>Janie Patterson</cp:lastModifiedBy>
  <cp:lastPrinted>2013-01-15T15:08:18Z</cp:lastPrinted>
  <dcterms:created xsi:type="dcterms:W3CDTF">2008-01-31T15:08:19Z</dcterms:created>
  <dcterms:modified xsi:type="dcterms:W3CDTF">2013-01-15T15:09:05Z</dcterms:modified>
  <cp:category/>
  <cp:version/>
  <cp:contentType/>
  <cp:contentStatus/>
</cp:coreProperties>
</file>